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del\Desktop\mAESTRIA FINANZAS\"/>
    </mc:Choice>
  </mc:AlternateContent>
  <bookViews>
    <workbookView xWindow="0" yWindow="80" windowWidth="2170" windowHeight="5580" activeTab="3"/>
  </bookViews>
  <sheets>
    <sheet name="BG" sheetId="1" r:id="rId1"/>
    <sheet name="ER" sheetId="2" r:id="rId2"/>
    <sheet name="FF" sheetId="3" r:id="rId3"/>
    <sheet name="razones NIF" sheetId="4" r:id="rId4"/>
    <sheet name="DUPONT" sheetId="6" r:id="rId5"/>
    <sheet name="ALTMAN" sheetId="7" r:id="rId6"/>
  </sheets>
  <definedNames>
    <definedName name="_xlnm.Print_Area" localSheetId="0">BG!$A$2:$N$23</definedName>
  </definedNames>
  <calcPr calcId="152511"/>
</workbook>
</file>

<file path=xl/calcChain.xml><?xml version="1.0" encoding="utf-8"?>
<calcChain xmlns="http://schemas.openxmlformats.org/spreadsheetml/2006/main">
  <c r="F49" i="4" l="1"/>
  <c r="E49" i="4" l="1"/>
  <c r="C27" i="7" l="1"/>
  <c r="C14" i="6"/>
  <c r="G14" i="6"/>
  <c r="C8" i="2"/>
  <c r="E16" i="1"/>
  <c r="C21" i="7" l="1"/>
  <c r="C11" i="7"/>
  <c r="M30" i="6"/>
  <c r="M27" i="6"/>
  <c r="M24" i="6"/>
  <c r="M21" i="6"/>
  <c r="D27" i="6"/>
  <c r="D24" i="6"/>
  <c r="D21" i="6"/>
  <c r="D18" i="6"/>
  <c r="E10" i="6" s="1"/>
  <c r="A18" i="6"/>
  <c r="F14" i="6" s="1"/>
  <c r="J14" i="6"/>
  <c r="L18" i="6"/>
  <c r="N14" i="6" s="1"/>
  <c r="Z10" i="6" s="1"/>
  <c r="AA6" i="6" s="1"/>
  <c r="P26" i="1"/>
  <c r="Q18" i="1"/>
  <c r="Q17" i="1"/>
  <c r="Q15" i="1"/>
  <c r="Q9" i="1"/>
  <c r="P33" i="1" s="1"/>
  <c r="Q7" i="1"/>
  <c r="Q6" i="1"/>
  <c r="P32" i="1" s="1"/>
  <c r="Q5" i="1"/>
  <c r="P31" i="1" s="1"/>
  <c r="P18" i="1"/>
  <c r="P17" i="1"/>
  <c r="P15" i="1"/>
  <c r="P11" i="1"/>
  <c r="P30" i="1" s="1"/>
  <c r="P6" i="1"/>
  <c r="P9" i="1"/>
  <c r="P29" i="1" s="1"/>
  <c r="P8" i="1"/>
  <c r="P28" i="1" s="1"/>
  <c r="E7" i="2"/>
  <c r="E9" i="2" s="1"/>
  <c r="E11" i="2" s="1"/>
  <c r="E13" i="2" s="1"/>
  <c r="G14" i="1"/>
  <c r="N16" i="1"/>
  <c r="N14" i="1"/>
  <c r="N8" i="1"/>
  <c r="N4" i="1"/>
  <c r="N11" i="1" s="1"/>
  <c r="G10" i="1"/>
  <c r="G7" i="1"/>
  <c r="G5" i="1"/>
  <c r="D120" i="4"/>
  <c r="D117" i="4"/>
  <c r="D116" i="4"/>
  <c r="D84" i="4"/>
  <c r="D71" i="4"/>
  <c r="D63" i="4"/>
  <c r="D62" i="4"/>
  <c r="D78" i="4" s="1"/>
  <c r="D55" i="4"/>
  <c r="D54" i="4"/>
  <c r="D70" i="4" s="1"/>
  <c r="D50" i="4"/>
  <c r="F21" i="4"/>
  <c r="D20" i="4"/>
  <c r="D17" i="4"/>
  <c r="D13" i="4"/>
  <c r="D25" i="4" s="1"/>
  <c r="D31" i="3"/>
  <c r="D25" i="3"/>
  <c r="D8" i="3"/>
  <c r="D19" i="3" s="1"/>
  <c r="A1" i="2"/>
  <c r="A1" i="3" s="1"/>
  <c r="D7" i="2"/>
  <c r="D9" i="2" s="1"/>
  <c r="D11" i="2" s="1"/>
  <c r="D13" i="2" s="1"/>
  <c r="D15" i="2" s="1"/>
  <c r="C7" i="2"/>
  <c r="D92" i="4" s="1"/>
  <c r="M16" i="1"/>
  <c r="L16" i="1"/>
  <c r="M14" i="1"/>
  <c r="L14" i="1"/>
  <c r="D134" i="4" s="1"/>
  <c r="M8" i="1"/>
  <c r="L8" i="1"/>
  <c r="M4" i="1"/>
  <c r="L4" i="1"/>
  <c r="F14" i="1"/>
  <c r="E14" i="1"/>
  <c r="F10" i="1"/>
  <c r="F4" i="1" s="1"/>
  <c r="F7" i="1"/>
  <c r="F5" i="1"/>
  <c r="E10" i="1"/>
  <c r="E7" i="1"/>
  <c r="E5" i="1"/>
  <c r="D41" i="4" s="1"/>
  <c r="D33" i="3" l="1"/>
  <c r="D36" i="3" s="1"/>
  <c r="C27" i="6"/>
  <c r="I14" i="6"/>
  <c r="M19" i="1"/>
  <c r="M11" i="1"/>
  <c r="M21" i="1" s="1"/>
  <c r="F21" i="1"/>
  <c r="Q21" i="1"/>
  <c r="L11" i="1"/>
  <c r="C8" i="7"/>
  <c r="D34" i="4"/>
  <c r="D38" i="4" s="1"/>
  <c r="D42" i="4" s="1"/>
  <c r="K18" i="6"/>
  <c r="F116" i="4"/>
  <c r="C19" i="7"/>
  <c r="AB10" i="6"/>
  <c r="D7" i="4"/>
  <c r="D3" i="4"/>
  <c r="C21" i="6"/>
  <c r="D24" i="4"/>
  <c r="F24" i="4" s="1"/>
  <c r="D49" i="4"/>
  <c r="P36" i="1"/>
  <c r="P16" i="1"/>
  <c r="P21" i="1" s="1"/>
  <c r="B14" i="6"/>
  <c r="D10" i="6" s="1"/>
  <c r="C24" i="6"/>
  <c r="C9" i="2"/>
  <c r="D28" i="4"/>
  <c r="F62" i="4"/>
  <c r="D67" i="4" s="1"/>
  <c r="F66" i="4" s="1"/>
  <c r="L19" i="1"/>
  <c r="E4" i="1"/>
  <c r="E21" i="1" s="1"/>
  <c r="F54" i="4"/>
  <c r="D59" i="4" s="1"/>
  <c r="F58" i="4" s="1"/>
  <c r="O18" i="6"/>
  <c r="M14" i="6" s="1"/>
  <c r="C18" i="6"/>
  <c r="L10" i="6"/>
  <c r="H6" i="6" s="1"/>
  <c r="F70" i="4"/>
  <c r="D75" i="4" s="1"/>
  <c r="F74" i="4" s="1"/>
  <c r="E15" i="2"/>
  <c r="N19" i="1"/>
  <c r="N21" i="1" s="1"/>
  <c r="G4" i="1"/>
  <c r="G21" i="1" s="1"/>
  <c r="D83" i="4"/>
  <c r="K10" i="6" l="1"/>
  <c r="G6" i="6" s="1"/>
  <c r="V6" i="6" s="1"/>
  <c r="Y10" i="6"/>
  <c r="AE10" i="6" s="1"/>
  <c r="Z6" i="6" s="1"/>
  <c r="D29" i="4"/>
  <c r="F28" i="4" s="1"/>
  <c r="C7" i="7"/>
  <c r="D45" i="4"/>
  <c r="D33" i="4"/>
  <c r="F33" i="4" s="1"/>
  <c r="D79" i="4"/>
  <c r="F78" i="4" s="1"/>
  <c r="D37" i="4"/>
  <c r="F37" i="4" s="1"/>
  <c r="D27" i="7"/>
  <c r="C18" i="7" s="1"/>
  <c r="D18" i="7" s="1"/>
  <c r="D138" i="4"/>
  <c r="D4" i="4"/>
  <c r="F3" i="4" s="1"/>
  <c r="D104" i="4"/>
  <c r="C11" i="2"/>
  <c r="D130" i="4"/>
  <c r="D8" i="4"/>
  <c r="F7" i="4" s="1"/>
  <c r="D88" i="4"/>
  <c r="C12" i="7"/>
  <c r="L21" i="1"/>
  <c r="W6" i="6"/>
  <c r="Y2" i="6" s="1"/>
  <c r="D46" i="4"/>
  <c r="F41" i="4"/>
  <c r="D87" i="4"/>
  <c r="F83" i="4"/>
  <c r="F45" i="4" l="1"/>
  <c r="X2" i="6"/>
  <c r="C9" i="7"/>
  <c r="C22" i="7" s="1"/>
  <c r="D21" i="7" s="1"/>
  <c r="C15" i="7"/>
  <c r="D11" i="7"/>
  <c r="C13" i="2"/>
  <c r="C15" i="2" s="1"/>
  <c r="D96" i="4"/>
  <c r="C14" i="7"/>
  <c r="D100" i="4"/>
  <c r="D12" i="4"/>
  <c r="F12" i="4" s="1"/>
  <c r="D16" i="4"/>
  <c r="F16" i="4" s="1"/>
  <c r="F87" i="4"/>
  <c r="D93" i="4"/>
  <c r="D8" i="7" l="1"/>
  <c r="D129" i="4"/>
  <c r="D108" i="4"/>
  <c r="D112" i="4" s="1"/>
  <c r="F112" i="4" s="1"/>
  <c r="D14" i="7"/>
  <c r="F92" i="4"/>
  <c r="D97" i="4"/>
  <c r="A37" i="7" l="1"/>
  <c r="A39" i="7"/>
  <c r="A40" i="7"/>
  <c r="A35" i="7"/>
  <c r="D133" i="4"/>
  <c r="F129" i="4"/>
  <c r="D101" i="4"/>
  <c r="F100" i="4" s="1"/>
  <c r="F96" i="4"/>
  <c r="F133" i="4" l="1"/>
  <c r="D137" i="4"/>
  <c r="F137" i="4" s="1"/>
  <c r="D105" i="4"/>
  <c r="D109" i="4" l="1"/>
  <c r="F104" i="4"/>
  <c r="F108" i="4" l="1"/>
  <c r="D121" i="4"/>
  <c r="D125" i="4" l="1"/>
  <c r="F120" i="4"/>
  <c r="D124" i="4"/>
  <c r="F124" i="4" l="1"/>
</calcChain>
</file>

<file path=xl/sharedStrings.xml><?xml version="1.0" encoding="utf-8"?>
<sst xmlns="http://schemas.openxmlformats.org/spreadsheetml/2006/main" count="303" uniqueCount="225">
  <si>
    <t>ACTIVO</t>
  </si>
  <si>
    <t>CIRCULANTE</t>
  </si>
  <si>
    <t>DISPONIBLE</t>
  </si>
  <si>
    <t>EFECTIVO</t>
  </si>
  <si>
    <t>REALIZABLE</t>
  </si>
  <si>
    <t>CUENTAS POR COBRAR</t>
  </si>
  <si>
    <t>INVENTARIOS</t>
  </si>
  <si>
    <t>DIVERSOS</t>
  </si>
  <si>
    <t>OTRAS CUENTAS X COBRAR</t>
  </si>
  <si>
    <t>NO CIRCULANTE</t>
  </si>
  <si>
    <t>EDIFICIO MAQ Y EQUIPOS</t>
  </si>
  <si>
    <t>menos DEP. ACUM</t>
  </si>
  <si>
    <t>GASTOS DE INSTALACION</t>
  </si>
  <si>
    <t>menos AMORT.ACUM</t>
  </si>
  <si>
    <t>SUMA DEL ACTIVO</t>
  </si>
  <si>
    <t>PASIVO</t>
  </si>
  <si>
    <t>CORTO PLAZO</t>
  </si>
  <si>
    <t>PROVEEDORES</t>
  </si>
  <si>
    <t>ACREEDORES SIN COSTO</t>
  </si>
  <si>
    <t>ACREEDORES CON COSTO</t>
  </si>
  <si>
    <t>LARGO PLAZO</t>
  </si>
  <si>
    <t>SUMA DEL PASIVO</t>
  </si>
  <si>
    <t>CAPITAL</t>
  </si>
  <si>
    <t>CAPITAL CONTRIBUIDO</t>
  </si>
  <si>
    <t>CAPITAL GANADO</t>
  </si>
  <si>
    <t>UTILIDAD DEL EJERCICIO</t>
  </si>
  <si>
    <t>UTILIDADES RETENIDAS</t>
  </si>
  <si>
    <t>SUMA DEL CAPITAL CONTABLE</t>
  </si>
  <si>
    <t>SUMA DEL PASIVO + CAPITAL</t>
  </si>
  <si>
    <t>BALANCE GENERAL COMPARATIVO AL 31 DE DICIEMBRE DE 2006 Y 2007</t>
  </si>
  <si>
    <t>VENTAS</t>
  </si>
  <si>
    <t>COSTO DE VENTAS</t>
  </si>
  <si>
    <t>UTILIDAD BRUTA</t>
  </si>
  <si>
    <t>GASTOS DE OPERACIÓN</t>
  </si>
  <si>
    <t>UT. DE OP. ANTES DE DEP.</t>
  </si>
  <si>
    <t>DEPRECIACIONES Y AMORTIZ.</t>
  </si>
  <si>
    <t>UTILIDAD DE OPERACIÓN</t>
  </si>
  <si>
    <t>COSTO INTEGRAL DE FINANCIAMIENTO</t>
  </si>
  <si>
    <t>UTILIDAD ANTES DE IMPTOS</t>
  </si>
  <si>
    <t>IMPTOS</t>
  </si>
  <si>
    <t>UTILIDAD NETA</t>
  </si>
  <si>
    <t>ESTADO DE RESULTADOS COMPARATIVO POR LOS EJERCICIOS 2006 Y 2007</t>
  </si>
  <si>
    <t>ESTADO DE CAMBIOS EN LA SITUACION FINANCIERA CORRESPONDIENTE AL PERIODO DEL 1 DE ENERO AL 31 DE DICIEMBRE DE 2007</t>
  </si>
  <si>
    <t>DE OPERACIÓN</t>
  </si>
  <si>
    <t>MAS</t>
  </si>
  <si>
    <t>DEPRECIACION ACUMULADA</t>
  </si>
  <si>
    <t>SUMA</t>
  </si>
  <si>
    <t>COBROS A CLIENTES</t>
  </si>
  <si>
    <t>FLUJOS DERIVADOS DE LA OPERACIÓN</t>
  </si>
  <si>
    <t>CREDITO DE PROVEEDORES</t>
  </si>
  <si>
    <t>MAS:</t>
  </si>
  <si>
    <t>MENOS:</t>
  </si>
  <si>
    <t>AUMENTO EN STOCK DE INVENTARIOS</t>
  </si>
  <si>
    <t>AUMENTO EN OTRAS CUENTAS POR COBRAR</t>
  </si>
  <si>
    <t>PAGOS A ACREEDORES</t>
  </si>
  <si>
    <t>FLUJO GENERADO POR LA OPERACIÓN</t>
  </si>
  <si>
    <t>DE FINANCIAMIENTO</t>
  </si>
  <si>
    <t>PAGO A ACREEDORES L.P.</t>
  </si>
  <si>
    <t>FLUJO REQUERIDO POR FINANCIAMIENTO</t>
  </si>
  <si>
    <t>DE INVERSION</t>
  </si>
  <si>
    <t>ADQUISICIONES DE ACTIVOS FIJOS</t>
  </si>
  <si>
    <t>FLUJO REQUERIDO POR INVERSIONES</t>
  </si>
  <si>
    <t>FLUJO GENERADO EN EL PERIODO</t>
  </si>
  <si>
    <t>SALDO INICIAL DE EFECTIVO</t>
  </si>
  <si>
    <t>SALDO FINAL DE EFECTIVO</t>
  </si>
  <si>
    <t>DEUDA A CAPITAL CONTABLE</t>
  </si>
  <si>
    <t>PT</t>
  </si>
  <si>
    <t>CC</t>
  </si>
  <si>
    <t>=</t>
  </si>
  <si>
    <t>COBERTURA DE INTERES</t>
  </si>
  <si>
    <t>UAFI</t>
  </si>
  <si>
    <t>CIF</t>
  </si>
  <si>
    <t>AT</t>
  </si>
  <si>
    <t>DEUDA A ACTIVOS TOTALES</t>
  </si>
  <si>
    <t>COBERTURA DE CARGOS FIJOS</t>
  </si>
  <si>
    <t>UACFI</t>
  </si>
  <si>
    <t>CF</t>
  </si>
  <si>
    <t>CF = INTERESES, PAGOS AL CAPITAL DE LA DEUDA</t>
  </si>
  <si>
    <t>INTERESES=</t>
  </si>
  <si>
    <t>PAGOS AL CAPITAL DE LA DEUDA=</t>
  </si>
  <si>
    <t>COBERTURA DE FLUJO</t>
  </si>
  <si>
    <t>FOAFI</t>
  </si>
  <si>
    <t>COBERTURA DE DEUDA</t>
  </si>
  <si>
    <t>FO</t>
  </si>
  <si>
    <t>DT</t>
  </si>
  <si>
    <t>PRUEBA DE LIQUIDEZ</t>
  </si>
  <si>
    <t>AC</t>
  </si>
  <si>
    <t>PC</t>
  </si>
  <si>
    <t>PRUEBA DEL ACIDO</t>
  </si>
  <si>
    <t>AC-I</t>
  </si>
  <si>
    <t>LIQUIDEZ INMEDIATA</t>
  </si>
  <si>
    <t>E</t>
  </si>
  <si>
    <t>MARGEN DE SEGURIDAD</t>
  </si>
  <si>
    <t>CTN</t>
  </si>
  <si>
    <t>INTERVALO DEFENSIVO</t>
  </si>
  <si>
    <t>E+IT+C</t>
  </si>
  <si>
    <t>GPsD</t>
  </si>
  <si>
    <t>ROTACION DE INVENTARIOS</t>
  </si>
  <si>
    <t>CV</t>
  </si>
  <si>
    <t>PROM INVENT</t>
  </si>
  <si>
    <t>ANTIGÜEDAD PROMEDIO DE INVENTARIOS</t>
  </si>
  <si>
    <t>ROT. INV</t>
  </si>
  <si>
    <t>ROTACION DE CUENTAS POR COBRAR</t>
  </si>
  <si>
    <t>VN</t>
  </si>
  <si>
    <t>PROM.CXC</t>
  </si>
  <si>
    <t>ANTIGÜEDAD DE CUENTAS POR COBRAR</t>
  </si>
  <si>
    <t>ROT.CXC</t>
  </si>
  <si>
    <t>ROTACION DE CUENTAS POR PAGAR</t>
  </si>
  <si>
    <t>PROM.CXP</t>
  </si>
  <si>
    <t>ANTIGÜEDAD DE CUENTAS POR PAGAR</t>
  </si>
  <si>
    <t>ROT.CXP</t>
  </si>
  <si>
    <t>ROTACION DEL CAPITAL DE TRABAJO</t>
  </si>
  <si>
    <t>ROTACION DE ACTIVOS PRODUCTIVOS</t>
  </si>
  <si>
    <t>AP</t>
  </si>
  <si>
    <t>ROTACION DE ACTIVOS TOTALES</t>
  </si>
  <si>
    <t>MARGEN DE UTILIDAD BRUTA</t>
  </si>
  <si>
    <t>UB</t>
  </si>
  <si>
    <t>MARGEN DE UTILIDAD OPERATIVA</t>
  </si>
  <si>
    <t>MARGEN DE UTILIDAD ANTES DE FINANCIAMIENTOS E IMPUESTOS</t>
  </si>
  <si>
    <t>MARGEN DE UTILIDAD ANTES DE FINANCIAMIENTOS, IMPTOS, DEPREC. Y AMORTIZ.</t>
  </si>
  <si>
    <t>UO</t>
  </si>
  <si>
    <t>UAFIDA</t>
  </si>
  <si>
    <t>MARGEN DE UTILIDAD NETA</t>
  </si>
  <si>
    <t>UN</t>
  </si>
  <si>
    <t>UTILIDAD POR ACCION</t>
  </si>
  <si>
    <t>UA</t>
  </si>
  <si>
    <t>CAPITAL SOCIAL *</t>
  </si>
  <si>
    <t>* LAS ACCIONES DE LA EMPRESA TIENEN VALOR NOMINAL DE $1,000</t>
  </si>
  <si>
    <t>CRECIMIENTO EN VENTAS</t>
  </si>
  <si>
    <t>VNPAC-VNPAN</t>
  </si>
  <si>
    <t>VNPAN</t>
  </si>
  <si>
    <t>GASTOS A VENTAS</t>
  </si>
  <si>
    <t>GASTOS</t>
  </si>
  <si>
    <t>CONTRIBUCION MARGINAL</t>
  </si>
  <si>
    <t>VN-CV</t>
  </si>
  <si>
    <t>RETORNO DE ACTIVOS</t>
  </si>
  <si>
    <t>RETORNO DE CAPITAL CONTRIBUIDO</t>
  </si>
  <si>
    <t>CCO</t>
  </si>
  <si>
    <t>RETORNO DE CAPITAL TOTAL</t>
  </si>
  <si>
    <t>utilidad</t>
  </si>
  <si>
    <t>depre</t>
  </si>
  <si>
    <t>suma</t>
  </si>
  <si>
    <t>COSTOS</t>
  </si>
  <si>
    <t>GASTOS &amp; DEP</t>
  </si>
  <si>
    <t>MARGEN DE UTILIDAD</t>
  </si>
  <si>
    <t>ROTACION DE ACTIVOS</t>
  </si>
  <si>
    <t>ACTIVOS TOTALES</t>
  </si>
  <si>
    <t>ACTIVOS CIRCULANTES</t>
  </si>
  <si>
    <t>ACTIVOS NO CIRCULANTES</t>
  </si>
  <si>
    <t>OTRAS CTAS X COBRAR</t>
  </si>
  <si>
    <t>ROA</t>
  </si>
  <si>
    <t>DEUDA TOTAL</t>
  </si>
  <si>
    <t>CAPITAL CONTABLE</t>
  </si>
  <si>
    <t>CC /AT</t>
  </si>
  <si>
    <t>ROI</t>
  </si>
  <si>
    <t>PUNTUACIÓN "Z" DE ALTMAN</t>
  </si>
  <si>
    <t>Activo Circulante</t>
  </si>
  <si>
    <t>X1=</t>
  </si>
  <si>
    <t>menos Pasivo Circulante</t>
  </si>
  <si>
    <t>Activo Total</t>
  </si>
  <si>
    <t>%</t>
  </si>
  <si>
    <t>X2=</t>
  </si>
  <si>
    <t>Utilidades Retenidas</t>
  </si>
  <si>
    <t>X3=</t>
  </si>
  <si>
    <t>Utilidad de Operación</t>
  </si>
  <si>
    <t>Valor de Mercado del</t>
  </si>
  <si>
    <t>X4=</t>
  </si>
  <si>
    <t>Capital Accionario</t>
  </si>
  <si>
    <t>Pasivo Total</t>
  </si>
  <si>
    <t>X5=</t>
  </si>
  <si>
    <t>Ventas Netas</t>
  </si>
  <si>
    <t>veces</t>
  </si>
  <si>
    <t xml:space="preserve">Valor de Mercado de sus Acciones </t>
  </si>
  <si>
    <t>Numero de acciones</t>
  </si>
  <si>
    <t>Precio Mercado</t>
  </si>
  <si>
    <t>Total</t>
  </si>
  <si>
    <t>Por ser una empresa que no cotiza en bolsa, y que sus acciones no son de circulacion consuetudinaria, se considera como valor de mercado el Valor en Libros del Capital Contable</t>
  </si>
  <si>
    <t xml:space="preserve">Z = 1.2 (X1) + 1.4 (X2) + 3.3 (X3) + 0.6 (X4) + 1.0 (X5)  </t>
  </si>
  <si>
    <t>Si "Z" &lt; 1.81 = Probabilidad Elevada de Quiebra</t>
  </si>
  <si>
    <t>Si "Z" &gt; 1.81 y &lt; 3.0 = No determinante</t>
  </si>
  <si>
    <t>Si "Z" &gt; 3.0 = Escasa Probabilidad de Quiebra</t>
  </si>
  <si>
    <t>EMPRESA DE EJEMPLO, S.A. DE C.V.</t>
  </si>
  <si>
    <t>EJEMPLO</t>
  </si>
  <si>
    <t>Información Financiera del Año 2006</t>
  </si>
  <si>
    <t>(pesos)</t>
  </si>
  <si>
    <t>*90  =</t>
  </si>
  <si>
    <t>SOLVENCIA - APALANCAMIENTO</t>
  </si>
  <si>
    <t>SOLVENCIA - COBERTURA</t>
  </si>
  <si>
    <t>SOLVENCIA - LIQUIDEZ</t>
  </si>
  <si>
    <t>EFICIENCIA OPERATIVA - A CORTO PLAZO</t>
  </si>
  <si>
    <t>EFICIENCIA OPERATIVA - A LARGO PLAZO</t>
  </si>
  <si>
    <t>RENTABILIDAD - RETORNO SOBRE INGRESOS</t>
  </si>
  <si>
    <t>RENTABILIDAD - RETORNO LA INVERSION</t>
  </si>
  <si>
    <t>por cada peso de capital contable hay .60 de pasivos totales</t>
  </si>
  <si>
    <t>por cada peso de activos totales hay .37 de pasivos totales</t>
  </si>
  <si>
    <t xml:space="preserve"> </t>
  </si>
  <si>
    <t>LA UTILIDAD ANTES DE FINANCIAMIENTO CUBRE 5.29 VECES LOS INTERESES</t>
  </si>
  <si>
    <t>CON LA UTILIDAD ANTES DE CARGOS FIJOS SE PUEDEN PAGAR 5.29 VECES LOS CARGOS FIJOS</t>
  </si>
  <si>
    <t>CON LOS FLUJOS DE OPERACIÓN SE PUEDEN PAGAR 1.99 VECES LOS INTERESES</t>
  </si>
  <si>
    <t>CON EL FLUJO DE EFECTIVO DEL TRIMESTRE SE PUEDE PAGAR EL 8% DE LA DEUDA TOTAL</t>
  </si>
  <si>
    <t>LOS ACTIVOS CUBREN 7.15 VECES LAS DEUDAS DE CORTO PLAZO</t>
  </si>
  <si>
    <t>LOS ACTIVOS CIRCULANTES SIN INVENTARIOS PUEDEN PAGAR 5.83 VECES LA DEUDA DE CORTO PLAZO</t>
  </si>
  <si>
    <t>POR CADA PESO DE DEUDA A CORTO PLAZO SE TIENE 1.14 PESOS DE EFECTIVO</t>
  </si>
  <si>
    <t>POR CADA PESO DE DEUDA DE CORTO PLAZO TENEMOS 6.15 PESOS EXTRAS DE ACTIVOS CIRCULANTES</t>
  </si>
  <si>
    <t>CON EL EFECTIVO Y CXC SE PUEDE LIQUIDAR 191 DIAS DE GASTOS NORMALES DE OPERACIÓN</t>
  </si>
  <si>
    <t>los inventarios se convierten en ventas 1.48 veces al año</t>
  </si>
  <si>
    <t>los inventarios se convierten en ventas cada 60 dias</t>
  </si>
  <si>
    <t>las cuentas por cobrar se convierte3n en efectivo 0.92 veces al año</t>
  </si>
  <si>
    <t>las cuentas por cobrar se convierten en efectivo cada 98 dias</t>
  </si>
  <si>
    <t>las cuentas por pagar se renovaron 2.73 al año</t>
  </si>
  <si>
    <t>las cuentasw por pagar se liquidan cada 32 dias</t>
  </si>
  <si>
    <t>por cada peso de capital de trabajo neto se generan 0.64 pesos de ventas</t>
  </si>
  <si>
    <t>POR CADA PESO DE ACTIVOS PRODUCTIVOS SE GENERAN 55 CENTAVOS DE VENTAS</t>
  </si>
  <si>
    <t>POR CADA PESO DE ACT TOTALES SE GENERAN 27 CENT DE VENTAS</t>
  </si>
  <si>
    <t>POR CADA PESO DE VENTAS SE GENERAN 50 CENT DE UT. BRUTA</t>
  </si>
  <si>
    <t>POR CADA PESO DE VENTAS HAY 0.28 PESOS DE UT OPERATIVA</t>
  </si>
  <si>
    <t>POR CADA PESO DE VENTAS SE GENERA 28 CENT DE UT ANTES DE FINANCIAMIENTOS E IMPUESTOS</t>
  </si>
  <si>
    <t>POR CADA PESO DE VENTAS SE GENERA 0.32 DE UAFIDA</t>
  </si>
  <si>
    <t>POR CADA PESO DE VENTAS SE GENERAN 16 CENTAVOS DE UT. NETA</t>
  </si>
  <si>
    <t>POR CADA ACCION LA EMPRESA GENERA 342.54 DE UTILIDADES AL TRIMESTRE</t>
  </si>
  <si>
    <t>LAS VENTAS CRECIERON 20% CON RELACION AL PERIODO ANTERIOR</t>
  </si>
  <si>
    <t>LOS GASTOS REPRESENTAN EL 18% DE LAS VENTAS</t>
  </si>
  <si>
    <t>los activos totales generan 4% de utilidad neta</t>
  </si>
  <si>
    <t>la utilidad neta es del 7% sobre el capital contribuido</t>
  </si>
  <si>
    <t>el capital contable genera 6.93% de rendimiento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</si>
</sst>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.0000_-;\-* #,##0.0000_-;_-* &quot;-&quot;??_-;_-@_-"/>
    <numFmt numFmtId="166" formatCode="\-"/>
    <numFmt numFmtId="167" formatCode="&quot;$&quot;#,##0.000;[Red]\-&quot;$&quot;#,##0.000"/>
    <numFmt numFmtId="168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43" fontId="3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3" fontId="3" fillId="0" borderId="11" xfId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5" fillId="0" borderId="0" xfId="0" applyNumberFormat="1" applyFont="1"/>
    <xf numFmtId="0" fontId="0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43" fontId="8" fillId="0" borderId="0" xfId="1" applyFont="1"/>
    <xf numFmtId="0" fontId="9" fillId="0" borderId="12" xfId="0" applyFont="1" applyBorder="1"/>
    <xf numFmtId="43" fontId="9" fillId="0" borderId="12" xfId="1" applyFont="1" applyBorder="1"/>
    <xf numFmtId="43" fontId="9" fillId="0" borderId="13" xfId="1" applyFont="1" applyBorder="1"/>
    <xf numFmtId="43" fontId="0" fillId="0" borderId="14" xfId="1" applyFont="1" applyBorder="1"/>
    <xf numFmtId="43" fontId="7" fillId="0" borderId="0" xfId="1" applyFont="1"/>
    <xf numFmtId="43" fontId="7" fillId="0" borderId="0" xfId="1" applyFont="1" applyBorder="1"/>
    <xf numFmtId="43" fontId="7" fillId="0" borderId="13" xfId="1" applyFont="1" applyBorder="1"/>
    <xf numFmtId="0" fontId="0" fillId="2" borderId="0" xfId="0" applyFill="1"/>
    <xf numFmtId="43" fontId="0" fillId="2" borderId="0" xfId="0" applyNumberFormat="1" applyFill="1"/>
    <xf numFmtId="0" fontId="0" fillId="2" borderId="1" xfId="0" applyFill="1" applyBorder="1"/>
    <xf numFmtId="43" fontId="0" fillId="2" borderId="1" xfId="0" applyNumberFormat="1" applyFill="1" applyBorder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Border="1"/>
    <xf numFmtId="0" fontId="10" fillId="0" borderId="0" xfId="0" applyFont="1"/>
    <xf numFmtId="43" fontId="10" fillId="4" borderId="18" xfId="1" applyFont="1" applyFill="1" applyBorder="1"/>
    <xf numFmtId="0" fontId="10" fillId="0" borderId="21" xfId="0" applyFont="1" applyBorder="1"/>
    <xf numFmtId="0" fontId="10" fillId="0" borderId="19" xfId="0" applyFont="1" applyBorder="1"/>
    <xf numFmtId="0" fontId="10" fillId="0" borderId="12" xfId="0" applyFont="1" applyBorder="1"/>
    <xf numFmtId="0" fontId="10" fillId="0" borderId="20" xfId="0" applyFont="1" applyBorder="1"/>
    <xf numFmtId="10" fontId="10" fillId="3" borderId="17" xfId="3" applyNumberFormat="1" applyFont="1" applyFill="1" applyBorder="1"/>
    <xf numFmtId="0" fontId="10" fillId="4" borderId="18" xfId="1" applyNumberFormat="1" applyFont="1" applyFill="1" applyBorder="1"/>
    <xf numFmtId="43" fontId="10" fillId="3" borderId="2" xfId="1" applyFont="1" applyFill="1" applyBorder="1"/>
    <xf numFmtId="43" fontId="10" fillId="4" borderId="2" xfId="1" applyFont="1" applyFill="1" applyBorder="1"/>
    <xf numFmtId="0" fontId="10" fillId="0" borderId="4" xfId="0" applyFont="1" applyBorder="1"/>
    <xf numFmtId="0" fontId="10" fillId="0" borderId="7" xfId="0" applyFont="1" applyBorder="1"/>
    <xf numFmtId="0" fontId="10" fillId="0" borderId="0" xfId="0" applyFont="1" applyBorder="1"/>
    <xf numFmtId="0" fontId="10" fillId="0" borderId="22" xfId="0" applyFont="1" applyBorder="1"/>
    <xf numFmtId="0" fontId="10" fillId="0" borderId="11" xfId="0" applyFont="1" applyBorder="1"/>
    <xf numFmtId="43" fontId="10" fillId="4" borderId="2" xfId="1" applyFont="1" applyFill="1" applyBorder="1" applyProtection="1">
      <protection locked="0"/>
    </xf>
    <xf numFmtId="0" fontId="10" fillId="0" borderId="0" xfId="0" applyFont="1" applyProtection="1"/>
    <xf numFmtId="10" fontId="10" fillId="4" borderId="18" xfId="3" applyNumberFormat="1" applyFont="1" applyFill="1" applyBorder="1"/>
    <xf numFmtId="164" fontId="10" fillId="3" borderId="17" xfId="1" applyNumberFormat="1" applyFont="1" applyFill="1" applyBorder="1"/>
    <xf numFmtId="43" fontId="10" fillId="3" borderId="17" xfId="1" applyNumberFormat="1" applyFont="1" applyFill="1" applyBorder="1"/>
    <xf numFmtId="0" fontId="10" fillId="0" borderId="23" xfId="0" applyFont="1" applyBorder="1"/>
    <xf numFmtId="43" fontId="10" fillId="3" borderId="2" xfId="1" applyFont="1" applyFill="1" applyBorder="1" applyProtection="1"/>
    <xf numFmtId="43" fontId="10" fillId="4" borderId="2" xfId="1" applyFont="1" applyFill="1" applyBorder="1" applyProtection="1"/>
    <xf numFmtId="0" fontId="0" fillId="5" borderId="0" xfId="0" applyFill="1"/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167" fontId="0" fillId="5" borderId="0" xfId="0" applyNumberFormat="1" applyFill="1"/>
    <xf numFmtId="44" fontId="0" fillId="5" borderId="0" xfId="2" applyFont="1" applyFill="1"/>
    <xf numFmtId="0" fontId="12" fillId="5" borderId="0" xfId="0" applyFont="1" applyFill="1"/>
    <xf numFmtId="2" fontId="14" fillId="5" borderId="0" xfId="0" applyNumberFormat="1" applyFont="1" applyFill="1" applyAlignment="1">
      <alignment horizontal="left"/>
    </xf>
    <xf numFmtId="0" fontId="0" fillId="0" borderId="0" xfId="0" applyFont="1"/>
    <xf numFmtId="0" fontId="0" fillId="0" borderId="21" xfId="0" applyFont="1" applyBorder="1"/>
    <xf numFmtId="0" fontId="0" fillId="0" borderId="19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1" xfId="0" applyFont="1" applyBorder="1"/>
    <xf numFmtId="0" fontId="0" fillId="0" borderId="0" xfId="0" applyFont="1" applyProtection="1">
      <protection locked="0"/>
    </xf>
    <xf numFmtId="9" fontId="10" fillId="0" borderId="0" xfId="3" applyFont="1"/>
    <xf numFmtId="10" fontId="10" fillId="0" borderId="0" xfId="3" applyNumberFormat="1" applyFont="1"/>
    <xf numFmtId="168" fontId="10" fillId="0" borderId="0" xfId="3" applyNumberFormat="1" applyFont="1"/>
    <xf numFmtId="0" fontId="10" fillId="0" borderId="24" xfId="0" applyFont="1" applyBorder="1"/>
    <xf numFmtId="0" fontId="10" fillId="0" borderId="1" xfId="0" applyFont="1" applyBorder="1"/>
    <xf numFmtId="0" fontId="0" fillId="0" borderId="25" xfId="0" applyFont="1" applyBorder="1"/>
    <xf numFmtId="0" fontId="2" fillId="6" borderId="0" xfId="0" applyFont="1" applyFill="1"/>
    <xf numFmtId="0" fontId="0" fillId="2" borderId="0" xfId="0" applyFill="1" applyBorder="1" applyAlignment="1">
      <alignment wrapText="1"/>
    </xf>
    <xf numFmtId="0" fontId="2" fillId="6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3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2" applyNumberFormat="1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70" zoomScaleNormal="70" workbookViewId="0">
      <selection activeCell="G18" sqref="G18"/>
    </sheetView>
  </sheetViews>
  <sheetFormatPr baseColWidth="10" defaultRowHeight="14.5" x14ac:dyDescent="0.35"/>
  <cols>
    <col min="1" max="3" width="3.1796875" customWidth="1"/>
    <col min="4" max="4" width="24.08984375" customWidth="1"/>
    <col min="5" max="6" width="16.453125" style="1" bestFit="1" customWidth="1"/>
    <col min="7" max="7" width="16.453125" style="1" customWidth="1"/>
    <col min="8" max="8" width="4.453125" customWidth="1"/>
    <col min="9" max="10" width="4" customWidth="1"/>
    <col min="11" max="11" width="31.36328125" customWidth="1"/>
    <col min="12" max="14" width="16.6328125" customWidth="1"/>
  </cols>
  <sheetData>
    <row r="1" spans="1:17" x14ac:dyDescent="0.35">
      <c r="A1" s="94" t="s">
        <v>181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9"/>
    </row>
    <row r="2" spans="1:17" x14ac:dyDescent="0.3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39"/>
    </row>
    <row r="3" spans="1:17" ht="18.5" thickBot="1" x14ac:dyDescent="0.55000000000000004">
      <c r="A3" s="7" t="s">
        <v>0</v>
      </c>
      <c r="E3" s="21">
        <v>2007</v>
      </c>
      <c r="F3" s="21">
        <v>2006</v>
      </c>
      <c r="G3" s="21">
        <v>2005</v>
      </c>
      <c r="I3" s="7" t="s">
        <v>15</v>
      </c>
      <c r="L3" s="21">
        <v>2007</v>
      </c>
      <c r="M3" s="21">
        <v>2006</v>
      </c>
      <c r="N3" s="21">
        <v>2005</v>
      </c>
    </row>
    <row r="4" spans="1:17" s="2" customFormat="1" ht="15" thickBot="1" x14ac:dyDescent="0.4">
      <c r="B4" s="14" t="s">
        <v>1</v>
      </c>
      <c r="C4" s="15"/>
      <c r="D4" s="16"/>
      <c r="E4" s="18">
        <f>+E5+E7+E10</f>
        <v>1968676</v>
      </c>
      <c r="F4" s="18">
        <f>+F5+F7+F10</f>
        <v>1660000</v>
      </c>
      <c r="G4" s="18">
        <f>+G5+G7+G10</f>
        <v>1660000</v>
      </c>
      <c r="J4" s="14" t="s">
        <v>16</v>
      </c>
      <c r="K4" s="16"/>
      <c r="L4" s="19">
        <f>SUM(L5:L7)</f>
        <v>275280</v>
      </c>
      <c r="M4" s="19">
        <f>SUM(M5:M7)</f>
        <v>180000</v>
      </c>
      <c r="N4" s="19">
        <f>SUM(N5:N7)</f>
        <v>180000</v>
      </c>
    </row>
    <row r="5" spans="1:17" s="8" customFormat="1" x14ac:dyDescent="0.35">
      <c r="C5" s="12" t="s">
        <v>2</v>
      </c>
      <c r="D5" s="13"/>
      <c r="E5" s="17">
        <f>+E6</f>
        <v>313431.2</v>
      </c>
      <c r="F5" s="17">
        <f>+F6</f>
        <v>200000</v>
      </c>
      <c r="G5" s="17">
        <f>+G6</f>
        <v>200000</v>
      </c>
      <c r="K5" t="s">
        <v>17</v>
      </c>
      <c r="L5" s="1">
        <v>215760</v>
      </c>
      <c r="M5" s="1">
        <v>180000</v>
      </c>
      <c r="N5" s="1">
        <v>180000</v>
      </c>
      <c r="P5" s="41"/>
      <c r="Q5" s="41">
        <f>+M5-N5</f>
        <v>0</v>
      </c>
    </row>
    <row r="6" spans="1:17" x14ac:dyDescent="0.35">
      <c r="D6" t="s">
        <v>3</v>
      </c>
      <c r="E6" s="1">
        <v>313431.2</v>
      </c>
      <c r="F6" s="1">
        <v>200000</v>
      </c>
      <c r="G6" s="1">
        <v>200000</v>
      </c>
      <c r="K6" t="s">
        <v>18</v>
      </c>
      <c r="L6" s="1">
        <v>59520</v>
      </c>
      <c r="M6" s="1"/>
      <c r="N6" s="1">
        <v>0</v>
      </c>
      <c r="P6" s="41">
        <f>+F6-G6</f>
        <v>0</v>
      </c>
      <c r="Q6" s="41">
        <f t="shared" ref="Q6:Q9" si="0">+M6-N6</f>
        <v>0</v>
      </c>
    </row>
    <row r="7" spans="1:17" s="3" customFormat="1" ht="15" thickBot="1" x14ac:dyDescent="0.4">
      <c r="C7" s="9" t="s">
        <v>4</v>
      </c>
      <c r="D7" s="10"/>
      <c r="E7" s="11">
        <f>SUM(E8:E9)</f>
        <v>1617800</v>
      </c>
      <c r="F7" s="11">
        <f>SUM(F8:F9)</f>
        <v>1460000</v>
      </c>
      <c r="G7" s="11">
        <f>SUM(G8:G9)</f>
        <v>1460000</v>
      </c>
      <c r="K7" t="s">
        <v>19</v>
      </c>
      <c r="L7" s="1"/>
      <c r="M7" s="1"/>
      <c r="N7" s="1"/>
      <c r="Q7" s="41">
        <f t="shared" si="0"/>
        <v>0</v>
      </c>
    </row>
    <row r="8" spans="1:17" ht="15" thickBot="1" x14ac:dyDescent="0.4">
      <c r="D8" t="s">
        <v>5</v>
      </c>
      <c r="E8" s="1">
        <v>1252800</v>
      </c>
      <c r="F8" s="1">
        <v>1095000</v>
      </c>
      <c r="G8" s="1">
        <v>1095000</v>
      </c>
      <c r="J8" s="14" t="s">
        <v>20</v>
      </c>
      <c r="K8" s="16"/>
      <c r="L8" s="19">
        <f>L9</f>
        <v>1200000</v>
      </c>
      <c r="M8" s="19">
        <f>M9</f>
        <v>1200000</v>
      </c>
      <c r="N8" s="19">
        <f>N9</f>
        <v>1200000</v>
      </c>
      <c r="P8" s="41">
        <f>+F8-G8</f>
        <v>0</v>
      </c>
    </row>
    <row r="9" spans="1:17" x14ac:dyDescent="0.35">
      <c r="D9" t="s">
        <v>6</v>
      </c>
      <c r="E9" s="1">
        <v>365000</v>
      </c>
      <c r="F9" s="1">
        <v>365000</v>
      </c>
      <c r="G9" s="1">
        <v>365000</v>
      </c>
      <c r="K9" t="s">
        <v>19</v>
      </c>
      <c r="L9" s="1">
        <v>1200000</v>
      </c>
      <c r="M9" s="1">
        <v>1200000</v>
      </c>
      <c r="N9" s="1">
        <v>1200000</v>
      </c>
      <c r="P9" s="41">
        <f>+F9-G9</f>
        <v>0</v>
      </c>
      <c r="Q9" s="41">
        <f t="shared" si="0"/>
        <v>0</v>
      </c>
    </row>
    <row r="10" spans="1:17" s="4" customFormat="1" x14ac:dyDescent="0.35">
      <c r="C10" s="9" t="s">
        <v>7</v>
      </c>
      <c r="D10" s="10"/>
      <c r="E10" s="11">
        <f>SUM(E11)</f>
        <v>37444.800000000003</v>
      </c>
      <c r="F10" s="11">
        <f>SUM(F11)</f>
        <v>0</v>
      </c>
      <c r="G10" s="11">
        <f>SUM(G11)</f>
        <v>0</v>
      </c>
    </row>
    <row r="11" spans="1:17" ht="17" x14ac:dyDescent="0.5">
      <c r="D11" t="s">
        <v>8</v>
      </c>
      <c r="E11" s="1">
        <v>37444.800000000003</v>
      </c>
      <c r="F11" s="1">
        <v>0</v>
      </c>
      <c r="G11" s="1">
        <v>0</v>
      </c>
      <c r="J11" s="5" t="s">
        <v>21</v>
      </c>
      <c r="K11" s="5"/>
      <c r="L11" s="20">
        <f>+L4+L8</f>
        <v>1475280</v>
      </c>
      <c r="M11" s="20">
        <f>+M4+M8</f>
        <v>1380000</v>
      </c>
      <c r="N11" s="20">
        <f>+N4+N8</f>
        <v>1380000</v>
      </c>
      <c r="P11" s="41">
        <f>+F11-G11</f>
        <v>0</v>
      </c>
    </row>
    <row r="13" spans="1:17" s="2" customFormat="1" ht="18.5" thickBot="1" x14ac:dyDescent="0.55000000000000004">
      <c r="I13" s="7" t="s">
        <v>22</v>
      </c>
    </row>
    <row r="14" spans="1:17" ht="15" thickBot="1" x14ac:dyDescent="0.4">
      <c r="A14" s="2"/>
      <c r="B14" s="14" t="s">
        <v>9</v>
      </c>
      <c r="C14" s="15"/>
      <c r="D14" s="16"/>
      <c r="E14" s="18">
        <f>SUM(E15:E18)</f>
        <v>1977875.02</v>
      </c>
      <c r="F14" s="18">
        <f>SUM(F15:F18)</f>
        <v>2020000</v>
      </c>
      <c r="G14" s="18">
        <f>SUM(G15:G18)</f>
        <v>2020000</v>
      </c>
      <c r="J14" s="14" t="s">
        <v>23</v>
      </c>
      <c r="K14" s="16"/>
      <c r="L14" s="19">
        <f>L15</f>
        <v>2300000</v>
      </c>
      <c r="M14" s="19">
        <f>M15</f>
        <v>2300000</v>
      </c>
      <c r="N14" s="19">
        <f>N15</f>
        <v>2300000</v>
      </c>
    </row>
    <row r="15" spans="1:17" ht="15" thickBot="1" x14ac:dyDescent="0.4">
      <c r="C15" t="s">
        <v>10</v>
      </c>
      <c r="E15" s="1">
        <v>2020000</v>
      </c>
      <c r="F15" s="1">
        <v>2020000</v>
      </c>
      <c r="G15" s="1">
        <v>2020000</v>
      </c>
      <c r="K15" t="s">
        <v>126</v>
      </c>
      <c r="L15" s="1">
        <v>2300000</v>
      </c>
      <c r="M15" s="1">
        <v>2300000</v>
      </c>
      <c r="N15" s="1">
        <v>2300000</v>
      </c>
      <c r="P15" s="41">
        <f t="shared" ref="P15:P18" si="1">+F15-G15</f>
        <v>0</v>
      </c>
      <c r="Q15" s="41">
        <f t="shared" ref="Q15:Q18" si="2">+M15-N15</f>
        <v>0</v>
      </c>
    </row>
    <row r="16" spans="1:17" ht="15" thickBot="1" x14ac:dyDescent="0.4">
      <c r="C16" t="s">
        <v>11</v>
      </c>
      <c r="E16" s="1">
        <f>1977875.02-2020000</f>
        <v>-42124.979999999981</v>
      </c>
      <c r="F16" s="1">
        <v>0</v>
      </c>
      <c r="G16" s="1">
        <v>0</v>
      </c>
      <c r="J16" s="14" t="s">
        <v>24</v>
      </c>
      <c r="K16" s="16"/>
      <c r="L16" s="19">
        <f>SUM(L17:L18)</f>
        <v>171271.02</v>
      </c>
      <c r="M16" s="19">
        <f>SUM(M17:M18)</f>
        <v>0</v>
      </c>
      <c r="N16" s="19">
        <f>SUM(N17:N18)</f>
        <v>0</v>
      </c>
      <c r="P16" s="41">
        <f t="shared" si="1"/>
        <v>0</v>
      </c>
    </row>
    <row r="17" spans="1:17" x14ac:dyDescent="0.35">
      <c r="C17" t="s">
        <v>12</v>
      </c>
      <c r="J17" s="8"/>
      <c r="K17" t="s">
        <v>25</v>
      </c>
      <c r="L17" s="1">
        <v>171271.02</v>
      </c>
      <c r="M17" s="1">
        <v>0</v>
      </c>
      <c r="N17" s="1">
        <v>0</v>
      </c>
      <c r="P17" s="41">
        <f t="shared" si="1"/>
        <v>0</v>
      </c>
      <c r="Q17" s="41">
        <f t="shared" si="2"/>
        <v>0</v>
      </c>
    </row>
    <row r="18" spans="1:17" x14ac:dyDescent="0.35">
      <c r="C18" t="s">
        <v>13</v>
      </c>
      <c r="K18" t="s">
        <v>26</v>
      </c>
      <c r="L18" s="1"/>
      <c r="M18" s="1"/>
      <c r="N18" s="1">
        <v>0</v>
      </c>
      <c r="P18" s="41">
        <f t="shared" si="1"/>
        <v>0</v>
      </c>
      <c r="Q18" s="41">
        <f t="shared" si="2"/>
        <v>0</v>
      </c>
    </row>
    <row r="19" spans="1:17" s="5" customFormat="1" ht="17" x14ac:dyDescent="0.5">
      <c r="G19" s="20"/>
      <c r="J19" s="5" t="s">
        <v>27</v>
      </c>
      <c r="L19" s="20">
        <f>+L14+L16</f>
        <v>2471271.02</v>
      </c>
      <c r="M19" s="20">
        <f>+M14+M16</f>
        <v>2300000</v>
      </c>
      <c r="N19" s="20">
        <f>+N14+N16</f>
        <v>2300000</v>
      </c>
    </row>
    <row r="21" spans="1:17" ht="17" x14ac:dyDescent="0.5">
      <c r="A21" s="5"/>
      <c r="B21" s="5" t="s">
        <v>14</v>
      </c>
      <c r="C21" s="5"/>
      <c r="D21" s="5"/>
      <c r="E21" s="6">
        <f>+E4+E14</f>
        <v>3946551.02</v>
      </c>
      <c r="F21" s="6">
        <f>+F4+F14</f>
        <v>3680000</v>
      </c>
      <c r="G21" s="6">
        <f>+G4+G14</f>
        <v>3680000</v>
      </c>
      <c r="J21" s="5" t="s">
        <v>28</v>
      </c>
      <c r="L21" s="20">
        <f>+L11+L19</f>
        <v>3946551.02</v>
      </c>
      <c r="M21" s="20">
        <f>+M11+M19</f>
        <v>3680000</v>
      </c>
      <c r="N21" s="20">
        <f>+N11+N19</f>
        <v>3680000</v>
      </c>
      <c r="P21">
        <f>SUM(P4:P19)</f>
        <v>0</v>
      </c>
      <c r="Q21">
        <f>SUM(Q4:Q19)</f>
        <v>0</v>
      </c>
    </row>
    <row r="23" spans="1:17" x14ac:dyDescent="0.35">
      <c r="B23" t="s">
        <v>127</v>
      </c>
    </row>
    <row r="24" spans="1:17" x14ac:dyDescent="0.35">
      <c r="O24" t="s">
        <v>139</v>
      </c>
      <c r="P24">
        <v>24000</v>
      </c>
    </row>
    <row r="25" spans="1:17" x14ac:dyDescent="0.35">
      <c r="O25" t="s">
        <v>140</v>
      </c>
      <c r="P25">
        <v>69000</v>
      </c>
    </row>
    <row r="26" spans="1:17" x14ac:dyDescent="0.35">
      <c r="O26" t="s">
        <v>141</v>
      </c>
      <c r="P26">
        <f>+P24+P25</f>
        <v>93000</v>
      </c>
    </row>
    <row r="28" spans="1:17" x14ac:dyDescent="0.35">
      <c r="P28" s="40">
        <f>-P8</f>
        <v>0</v>
      </c>
    </row>
    <row r="29" spans="1:17" x14ac:dyDescent="0.35">
      <c r="P29" s="40">
        <f>-P9</f>
        <v>0</v>
      </c>
    </row>
    <row r="30" spans="1:17" x14ac:dyDescent="0.35">
      <c r="P30" s="40">
        <f>-P11</f>
        <v>0</v>
      </c>
    </row>
    <row r="31" spans="1:17" x14ac:dyDescent="0.35">
      <c r="P31" s="40">
        <f>+Q5</f>
        <v>0</v>
      </c>
    </row>
    <row r="32" spans="1:17" x14ac:dyDescent="0.35">
      <c r="P32" s="40">
        <f>+Q6</f>
        <v>0</v>
      </c>
    </row>
    <row r="33" spans="16:16" x14ac:dyDescent="0.35">
      <c r="P33" s="40">
        <f>+Q9</f>
        <v>0</v>
      </c>
    </row>
    <row r="34" spans="16:16" x14ac:dyDescent="0.35">
      <c r="P34" s="40">
        <v>-7500</v>
      </c>
    </row>
    <row r="36" spans="16:16" x14ac:dyDescent="0.35">
      <c r="P36" s="1">
        <f>SUM(P26:P34)</f>
        <v>85500</v>
      </c>
    </row>
  </sheetData>
  <mergeCells count="2">
    <mergeCell ref="A2:M2"/>
    <mergeCell ref="A1:M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6" sqref="D6"/>
    </sheetView>
  </sheetViews>
  <sheetFormatPr baseColWidth="10" defaultRowHeight="14.5" x14ac:dyDescent="0.35"/>
  <cols>
    <col min="1" max="1" width="4.36328125" customWidth="1"/>
    <col min="2" max="2" width="40.36328125" customWidth="1"/>
    <col min="3" max="5" width="15.54296875" style="1" bestFit="1" customWidth="1"/>
  </cols>
  <sheetData>
    <row r="1" spans="1:6" x14ac:dyDescent="0.35">
      <c r="A1" s="94" t="str">
        <f>+BG!A1</f>
        <v>EMPRESA DE EJEMPLO, S.A. DE C.V.</v>
      </c>
      <c r="B1" s="94"/>
      <c r="C1" s="94"/>
      <c r="D1" s="94"/>
      <c r="E1"/>
    </row>
    <row r="2" spans="1:6" x14ac:dyDescent="0.35">
      <c r="A2" s="94" t="s">
        <v>41</v>
      </c>
      <c r="B2" s="94"/>
      <c r="C2" s="94"/>
      <c r="D2" s="94"/>
      <c r="E2"/>
    </row>
    <row r="3" spans="1:6" x14ac:dyDescent="0.35">
      <c r="C3" s="21">
        <v>2007</v>
      </c>
      <c r="D3" s="21">
        <v>2006</v>
      </c>
      <c r="E3" s="21">
        <v>2005</v>
      </c>
    </row>
    <row r="5" spans="1:6" ht="15.5" x14ac:dyDescent="0.35">
      <c r="A5" s="23" t="s">
        <v>30</v>
      </c>
      <c r="B5" s="23"/>
      <c r="C5" s="24">
        <v>1080000</v>
      </c>
      <c r="D5" s="24">
        <v>1000000</v>
      </c>
      <c r="E5" s="24">
        <v>0</v>
      </c>
    </row>
    <row r="6" spans="1:6" ht="15.5" x14ac:dyDescent="0.35">
      <c r="A6" s="23" t="s">
        <v>31</v>
      </c>
      <c r="B6" s="23"/>
      <c r="C6" s="24">
        <v>540000</v>
      </c>
      <c r="D6" s="24">
        <v>600000</v>
      </c>
      <c r="E6" s="24">
        <v>0</v>
      </c>
    </row>
    <row r="7" spans="1:6" ht="15.5" x14ac:dyDescent="0.35">
      <c r="A7" s="23"/>
      <c r="B7" s="25" t="s">
        <v>32</v>
      </c>
      <c r="C7" s="26">
        <f>+C5-C6</f>
        <v>540000</v>
      </c>
      <c r="D7" s="26">
        <f>+D5-D6</f>
        <v>400000</v>
      </c>
      <c r="E7" s="26">
        <f>+E5-E6</f>
        <v>0</v>
      </c>
    </row>
    <row r="8" spans="1:6" ht="15.5" x14ac:dyDescent="0.35">
      <c r="A8" s="23" t="s">
        <v>33</v>
      </c>
      <c r="B8" s="23"/>
      <c r="C8" s="24">
        <f>122400+73800</f>
        <v>196200</v>
      </c>
      <c r="D8" s="24">
        <v>250000</v>
      </c>
      <c r="E8" s="24">
        <v>0</v>
      </c>
    </row>
    <row r="9" spans="1:6" ht="15.5" x14ac:dyDescent="0.35">
      <c r="A9" s="23"/>
      <c r="B9" s="25" t="s">
        <v>34</v>
      </c>
      <c r="C9" s="26">
        <f>+C7-C8</f>
        <v>343800</v>
      </c>
      <c r="D9" s="26">
        <f>+D7-D8</f>
        <v>150000</v>
      </c>
      <c r="E9" s="26">
        <f>+E7-E8</f>
        <v>0</v>
      </c>
    </row>
    <row r="10" spans="1:6" ht="15.5" x14ac:dyDescent="0.35">
      <c r="A10" s="23" t="s">
        <v>35</v>
      </c>
      <c r="B10" s="23"/>
      <c r="C10" s="24">
        <v>42124.98</v>
      </c>
      <c r="D10" s="24">
        <v>50000</v>
      </c>
      <c r="E10" s="24">
        <v>0</v>
      </c>
    </row>
    <row r="11" spans="1:6" ht="15.5" x14ac:dyDescent="0.35">
      <c r="A11" s="23"/>
      <c r="B11" s="25" t="s">
        <v>36</v>
      </c>
      <c r="C11" s="26">
        <f>+C9-C10</f>
        <v>301675.02</v>
      </c>
      <c r="D11" s="26">
        <f>+D9-D10</f>
        <v>100000</v>
      </c>
      <c r="E11" s="26">
        <f>+E9-E10</f>
        <v>0</v>
      </c>
    </row>
    <row r="12" spans="1:6" ht="15.5" x14ac:dyDescent="0.35">
      <c r="A12" s="23" t="s">
        <v>37</v>
      </c>
      <c r="B12" s="23"/>
      <c r="C12" s="24">
        <v>57000</v>
      </c>
      <c r="D12" s="24">
        <v>30000</v>
      </c>
      <c r="E12" s="24">
        <v>0</v>
      </c>
    </row>
    <row r="13" spans="1:6" ht="15.5" x14ac:dyDescent="0.35">
      <c r="A13" s="23"/>
      <c r="B13" s="25" t="s">
        <v>38</v>
      </c>
      <c r="C13" s="26">
        <f>+C11-C12</f>
        <v>244675.02000000002</v>
      </c>
      <c r="D13" s="26">
        <f>+D11-D12</f>
        <v>70000</v>
      </c>
      <c r="E13" s="26">
        <f>+E11-E12</f>
        <v>0</v>
      </c>
    </row>
    <row r="14" spans="1:6" ht="15.5" x14ac:dyDescent="0.35">
      <c r="A14" s="23" t="s">
        <v>39</v>
      </c>
      <c r="B14" s="23"/>
      <c r="C14" s="24">
        <v>73404</v>
      </c>
      <c r="D14" s="24">
        <v>0</v>
      </c>
      <c r="E14" s="24">
        <v>0</v>
      </c>
      <c r="F14" s="40"/>
    </row>
    <row r="15" spans="1:6" ht="16" thickBot="1" x14ac:dyDescent="0.4">
      <c r="A15" s="23"/>
      <c r="B15" s="25" t="s">
        <v>40</v>
      </c>
      <c r="C15" s="27">
        <f>+C13-C14</f>
        <v>171271.02000000002</v>
      </c>
      <c r="D15" s="27">
        <f>+D13-D14</f>
        <v>70000</v>
      </c>
      <c r="E15" s="27">
        <f>+E13-E14</f>
        <v>0</v>
      </c>
    </row>
    <row r="16" spans="1:6" ht="15" thickTop="1" x14ac:dyDescent="0.3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1" workbookViewId="0">
      <selection activeCell="D36" sqref="D36"/>
    </sheetView>
  </sheetViews>
  <sheetFormatPr baseColWidth="10" defaultRowHeight="14.5" x14ac:dyDescent="0.35"/>
  <cols>
    <col min="1" max="1" width="4.6328125" customWidth="1"/>
    <col min="2" max="2" width="8.36328125" customWidth="1"/>
    <col min="3" max="3" width="41.54296875" customWidth="1"/>
    <col min="4" max="4" width="14.453125" style="1" bestFit="1" customWidth="1"/>
  </cols>
  <sheetData>
    <row r="1" spans="1:4" x14ac:dyDescent="0.35">
      <c r="A1" s="94" t="str">
        <f>+ER!A1</f>
        <v>EMPRESA DE EJEMPLO, S.A. DE C.V.</v>
      </c>
      <c r="B1" s="94"/>
      <c r="C1" s="94"/>
      <c r="D1" s="94"/>
    </row>
    <row r="2" spans="1:4" ht="35.4" customHeight="1" x14ac:dyDescent="0.35">
      <c r="A2" s="95" t="s">
        <v>42</v>
      </c>
      <c r="B2" s="95"/>
      <c r="C2" s="95"/>
      <c r="D2" s="95"/>
    </row>
    <row r="4" spans="1:4" ht="17" x14ac:dyDescent="0.5">
      <c r="A4" s="22" t="s">
        <v>43</v>
      </c>
    </row>
    <row r="5" spans="1:4" x14ac:dyDescent="0.35">
      <c r="C5" t="s">
        <v>25</v>
      </c>
      <c r="D5" s="1">
        <v>171271.02</v>
      </c>
    </row>
    <row r="6" spans="1:4" x14ac:dyDescent="0.35">
      <c r="B6" t="s">
        <v>44</v>
      </c>
    </row>
    <row r="7" spans="1:4" x14ac:dyDescent="0.35">
      <c r="C7" t="s">
        <v>45</v>
      </c>
      <c r="D7" s="1">
        <v>42124.98</v>
      </c>
    </row>
    <row r="8" spans="1:4" x14ac:dyDescent="0.35">
      <c r="B8" t="s">
        <v>46</v>
      </c>
      <c r="D8" s="28">
        <f>+D5+D7</f>
        <v>213396</v>
      </c>
    </row>
    <row r="10" spans="1:4" x14ac:dyDescent="0.35">
      <c r="B10" t="s">
        <v>48</v>
      </c>
    </row>
    <row r="11" spans="1:4" x14ac:dyDescent="0.35">
      <c r="B11" t="s">
        <v>50</v>
      </c>
    </row>
    <row r="12" spans="1:4" x14ac:dyDescent="0.35">
      <c r="C12" t="s">
        <v>47</v>
      </c>
    </row>
    <row r="13" spans="1:4" x14ac:dyDescent="0.35">
      <c r="C13" t="s">
        <v>49</v>
      </c>
      <c r="D13" s="1">
        <v>2505427.2000000002</v>
      </c>
    </row>
    <row r="14" spans="1:4" x14ac:dyDescent="0.35">
      <c r="B14" t="s">
        <v>51</v>
      </c>
    </row>
    <row r="15" spans="1:4" x14ac:dyDescent="0.35">
      <c r="C15" t="s">
        <v>52</v>
      </c>
    </row>
    <row r="16" spans="1:4" x14ac:dyDescent="0.35">
      <c r="C16" t="s">
        <v>53</v>
      </c>
    </row>
    <row r="17" spans="1:4" x14ac:dyDescent="0.35">
      <c r="C17" t="s">
        <v>54</v>
      </c>
      <c r="D17" s="1">
        <v>2605392</v>
      </c>
    </row>
    <row r="19" spans="1:4" x14ac:dyDescent="0.35">
      <c r="B19" t="s">
        <v>55</v>
      </c>
      <c r="D19" s="28">
        <f>+D8+SUM(D12:D13)-SUM(D15:D17)</f>
        <v>113431.20000000019</v>
      </c>
    </row>
    <row r="21" spans="1:4" ht="17" x14ac:dyDescent="0.5">
      <c r="A21" s="22" t="s">
        <v>56</v>
      </c>
    </row>
    <row r="22" spans="1:4" x14ac:dyDescent="0.35">
      <c r="B22" t="s">
        <v>51</v>
      </c>
    </row>
    <row r="23" spans="1:4" x14ac:dyDescent="0.35">
      <c r="C23" t="s">
        <v>57</v>
      </c>
      <c r="D23" s="1">
        <v>0</v>
      </c>
    </row>
    <row r="25" spans="1:4" x14ac:dyDescent="0.35">
      <c r="B25" t="s">
        <v>58</v>
      </c>
      <c r="D25" s="28">
        <f>+D23</f>
        <v>0</v>
      </c>
    </row>
    <row r="27" spans="1:4" ht="17" x14ac:dyDescent="0.5">
      <c r="A27" s="22" t="s">
        <v>59</v>
      </c>
    </row>
    <row r="28" spans="1:4" x14ac:dyDescent="0.35">
      <c r="B28" t="s">
        <v>51</v>
      </c>
    </row>
    <row r="29" spans="1:4" x14ac:dyDescent="0.35">
      <c r="C29" t="s">
        <v>60</v>
      </c>
      <c r="D29" s="1">
        <v>0</v>
      </c>
    </row>
    <row r="31" spans="1:4" x14ac:dyDescent="0.35">
      <c r="B31" t="s">
        <v>61</v>
      </c>
      <c r="D31" s="28">
        <f>+D29</f>
        <v>0</v>
      </c>
    </row>
    <row r="33" spans="1:4" ht="17" x14ac:dyDescent="0.5">
      <c r="A33" s="22" t="s">
        <v>62</v>
      </c>
      <c r="B33" s="22"/>
      <c r="C33" s="22"/>
      <c r="D33" s="29">
        <f>+D19-D25-D31</f>
        <v>113431.20000000019</v>
      </c>
    </row>
    <row r="34" spans="1:4" ht="17" x14ac:dyDescent="0.5">
      <c r="A34" s="22"/>
      <c r="B34" t="s">
        <v>50</v>
      </c>
      <c r="C34" s="22"/>
      <c r="D34" s="29"/>
    </row>
    <row r="35" spans="1:4" ht="17" x14ac:dyDescent="0.5">
      <c r="A35" s="22" t="s">
        <v>63</v>
      </c>
      <c r="B35" s="22"/>
      <c r="C35" s="22"/>
      <c r="D35" s="30">
        <v>200000</v>
      </c>
    </row>
    <row r="36" spans="1:4" ht="17.5" thickBot="1" x14ac:dyDescent="0.55000000000000004">
      <c r="A36" s="22" t="s">
        <v>64</v>
      </c>
      <c r="B36" s="22"/>
      <c r="C36" s="22"/>
      <c r="D36" s="31">
        <f>+D33+D35</f>
        <v>313431.20000000019</v>
      </c>
    </row>
    <row r="37" spans="1:4" ht="15" thickTop="1" x14ac:dyDescent="0.3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tabSelected="1" topLeftCell="A123" zoomScale="90" zoomScaleNormal="90" workbookViewId="0">
      <selection activeCell="G140" sqref="G140"/>
    </sheetView>
  </sheetViews>
  <sheetFormatPr baseColWidth="10" defaultColWidth="11.54296875" defaultRowHeight="14.5" x14ac:dyDescent="0.35"/>
  <cols>
    <col min="1" max="1" width="5.6328125" style="32" customWidth="1"/>
    <col min="2" max="3" width="11.54296875" style="32"/>
    <col min="4" max="4" width="15.6328125" style="32" customWidth="1"/>
    <col min="5" max="5" width="9.26953125" style="32" customWidth="1"/>
    <col min="6" max="6" width="10.54296875" style="32" customWidth="1"/>
    <col min="7" max="7" width="53" style="90" customWidth="1"/>
    <col min="8" max="16384" width="11.54296875" style="32"/>
  </cols>
  <sheetData>
    <row r="1" spans="1:7" x14ac:dyDescent="0.35">
      <c r="A1" s="89" t="s">
        <v>186</v>
      </c>
      <c r="B1" s="89"/>
      <c r="C1" s="89"/>
      <c r="D1" s="89"/>
      <c r="E1" s="89"/>
      <c r="F1" s="91"/>
    </row>
    <row r="2" spans="1:7" x14ac:dyDescent="0.35">
      <c r="B2" s="32" t="s">
        <v>65</v>
      </c>
      <c r="E2" s="33"/>
      <c r="F2" s="92"/>
      <c r="G2" s="96" t="s">
        <v>193</v>
      </c>
    </row>
    <row r="3" spans="1:7" x14ac:dyDescent="0.35">
      <c r="C3" s="34" t="s">
        <v>66</v>
      </c>
      <c r="D3" s="35">
        <f>+BG!L11</f>
        <v>1475280</v>
      </c>
      <c r="E3" s="97" t="s">
        <v>68</v>
      </c>
      <c r="F3" s="99">
        <f>+D3/D4</f>
        <v>0.59697216050386892</v>
      </c>
      <c r="G3" s="96"/>
    </row>
    <row r="4" spans="1:7" x14ac:dyDescent="0.35">
      <c r="C4" s="32" t="s">
        <v>67</v>
      </c>
      <c r="D4" s="33">
        <f>+BG!L19</f>
        <v>2471271.02</v>
      </c>
      <c r="E4" s="98"/>
      <c r="F4" s="100"/>
      <c r="G4" s="96"/>
    </row>
    <row r="5" spans="1:7" x14ac:dyDescent="0.35">
      <c r="F5" s="93"/>
    </row>
    <row r="6" spans="1:7" x14ac:dyDescent="0.35">
      <c r="B6" s="32" t="s">
        <v>73</v>
      </c>
      <c r="F6" s="36"/>
      <c r="G6" s="96" t="s">
        <v>194</v>
      </c>
    </row>
    <row r="7" spans="1:7" x14ac:dyDescent="0.35">
      <c r="C7" s="34" t="s">
        <v>66</v>
      </c>
      <c r="D7" s="35">
        <f>+BG!L11</f>
        <v>1475280</v>
      </c>
      <c r="E7" s="97" t="s">
        <v>68</v>
      </c>
      <c r="F7" s="101">
        <f>+D7/D8</f>
        <v>0.37381500771780218</v>
      </c>
      <c r="G7" s="96"/>
    </row>
    <row r="8" spans="1:7" x14ac:dyDescent="0.35">
      <c r="C8" s="32" t="s">
        <v>72</v>
      </c>
      <c r="D8" s="33">
        <f>+BG!E21</f>
        <v>3946551.02</v>
      </c>
      <c r="E8" s="98"/>
      <c r="F8" s="102"/>
      <c r="G8" s="96"/>
    </row>
    <row r="9" spans="1:7" x14ac:dyDescent="0.35">
      <c r="F9" s="36"/>
      <c r="G9" s="90" t="s">
        <v>195</v>
      </c>
    </row>
    <row r="10" spans="1:7" x14ac:dyDescent="0.35">
      <c r="A10" s="89" t="s">
        <v>187</v>
      </c>
      <c r="B10" s="89"/>
      <c r="C10" s="89"/>
      <c r="D10" s="89"/>
      <c r="E10" s="89"/>
      <c r="F10" s="89"/>
    </row>
    <row r="11" spans="1:7" x14ac:dyDescent="0.35">
      <c r="B11" s="32" t="s">
        <v>69</v>
      </c>
      <c r="F11" s="36"/>
      <c r="G11" s="96" t="s">
        <v>196</v>
      </c>
    </row>
    <row r="12" spans="1:7" x14ac:dyDescent="0.35">
      <c r="C12" s="34" t="s">
        <v>70</v>
      </c>
      <c r="D12" s="35">
        <f>+ER!C11</f>
        <v>301675.02</v>
      </c>
      <c r="E12" s="97" t="s">
        <v>68</v>
      </c>
      <c r="F12" s="101">
        <f>+D12/D13</f>
        <v>5.2925442105263159</v>
      </c>
      <c r="G12" s="96"/>
    </row>
    <row r="13" spans="1:7" x14ac:dyDescent="0.35">
      <c r="C13" s="32" t="s">
        <v>71</v>
      </c>
      <c r="D13" s="33">
        <f>+ER!C12</f>
        <v>57000</v>
      </c>
      <c r="E13" s="98"/>
      <c r="F13" s="102"/>
      <c r="G13" s="96"/>
    </row>
    <row r="14" spans="1:7" x14ac:dyDescent="0.35">
      <c r="F14" s="36"/>
    </row>
    <row r="15" spans="1:7" x14ac:dyDescent="0.35">
      <c r="B15" s="32" t="s">
        <v>74</v>
      </c>
      <c r="F15" s="36"/>
    </row>
    <row r="16" spans="1:7" ht="29" x14ac:dyDescent="0.35">
      <c r="C16" s="37" t="s">
        <v>75</v>
      </c>
      <c r="D16" s="35">
        <f>+ER!C11</f>
        <v>301675.02</v>
      </c>
      <c r="E16" s="97" t="s">
        <v>68</v>
      </c>
      <c r="F16" s="101">
        <f>+D16/D17</f>
        <v>5.2925442105263159</v>
      </c>
      <c r="G16" s="90" t="s">
        <v>197</v>
      </c>
    </row>
    <row r="17" spans="1:7" x14ac:dyDescent="0.35">
      <c r="C17" s="38" t="s">
        <v>76</v>
      </c>
      <c r="D17" s="33">
        <f>+ER!C12+FF!D23</f>
        <v>57000</v>
      </c>
      <c r="E17" s="98"/>
      <c r="F17" s="102"/>
    </row>
    <row r="19" spans="1:7" x14ac:dyDescent="0.35">
      <c r="C19" s="32" t="s">
        <v>77</v>
      </c>
    </row>
    <row r="20" spans="1:7" x14ac:dyDescent="0.35">
      <c r="C20" s="32" t="s">
        <v>78</v>
      </c>
      <c r="D20" s="33">
        <f>+ER!C12</f>
        <v>57000</v>
      </c>
    </row>
    <row r="21" spans="1:7" x14ac:dyDescent="0.35">
      <c r="C21" s="32" t="s">
        <v>79</v>
      </c>
      <c r="F21" s="33">
        <f>+FF!D23</f>
        <v>0</v>
      </c>
    </row>
    <row r="23" spans="1:7" x14ac:dyDescent="0.35">
      <c r="B23" s="32" t="s">
        <v>80</v>
      </c>
      <c r="G23" s="96" t="s">
        <v>198</v>
      </c>
    </row>
    <row r="24" spans="1:7" x14ac:dyDescent="0.35">
      <c r="C24" s="37" t="s">
        <v>81</v>
      </c>
      <c r="D24" s="35">
        <f>+FF!D19</f>
        <v>113431.20000000019</v>
      </c>
      <c r="E24" s="97" t="s">
        <v>68</v>
      </c>
      <c r="F24" s="101">
        <f>+D24/D25</f>
        <v>1.9900210526315822</v>
      </c>
      <c r="G24" s="96"/>
    </row>
    <row r="25" spans="1:7" x14ac:dyDescent="0.35">
      <c r="C25" s="38" t="s">
        <v>71</v>
      </c>
      <c r="D25" s="33">
        <f>+D13</f>
        <v>57000</v>
      </c>
      <c r="E25" s="98"/>
      <c r="F25" s="102"/>
      <c r="G25" s="96"/>
    </row>
    <row r="27" spans="1:7" x14ac:dyDescent="0.35">
      <c r="B27" s="32" t="s">
        <v>82</v>
      </c>
      <c r="G27" s="96" t="s">
        <v>199</v>
      </c>
    </row>
    <row r="28" spans="1:7" x14ac:dyDescent="0.35">
      <c r="C28" s="37" t="s">
        <v>83</v>
      </c>
      <c r="D28" s="35">
        <f>+FF!D19</f>
        <v>113431.20000000019</v>
      </c>
      <c r="E28" s="97" t="s">
        <v>68</v>
      </c>
      <c r="F28" s="101">
        <f>+D28/D29</f>
        <v>7.6887912802993452E-2</v>
      </c>
      <c r="G28" s="96"/>
    </row>
    <row r="29" spans="1:7" x14ac:dyDescent="0.35">
      <c r="C29" s="38" t="s">
        <v>84</v>
      </c>
      <c r="D29" s="33">
        <f>+D7</f>
        <v>1475280</v>
      </c>
      <c r="E29" s="98"/>
      <c r="F29" s="102"/>
      <c r="G29" s="96"/>
    </row>
    <row r="31" spans="1:7" x14ac:dyDescent="0.35">
      <c r="A31" s="89" t="s">
        <v>188</v>
      </c>
      <c r="B31" s="89"/>
      <c r="C31" s="89"/>
      <c r="D31" s="89"/>
      <c r="E31" s="89"/>
      <c r="F31" s="89"/>
    </row>
    <row r="32" spans="1:7" x14ac:dyDescent="0.35">
      <c r="B32" s="32" t="s">
        <v>85</v>
      </c>
      <c r="G32" s="96" t="s">
        <v>200</v>
      </c>
    </row>
    <row r="33" spans="2:7" x14ac:dyDescent="0.35">
      <c r="C33" s="37" t="s">
        <v>86</v>
      </c>
      <c r="D33" s="35">
        <f>+BG!E4</f>
        <v>1968676</v>
      </c>
      <c r="E33" s="97" t="s">
        <v>68</v>
      </c>
      <c r="F33" s="101">
        <f>+D33/D34</f>
        <v>7.151540249927347</v>
      </c>
      <c r="G33" s="96"/>
    </row>
    <row r="34" spans="2:7" x14ac:dyDescent="0.35">
      <c r="C34" s="38" t="s">
        <v>87</v>
      </c>
      <c r="D34" s="33">
        <f>+BG!L4</f>
        <v>275280</v>
      </c>
      <c r="E34" s="98"/>
      <c r="F34" s="102"/>
      <c r="G34" s="96"/>
    </row>
    <row r="36" spans="2:7" x14ac:dyDescent="0.35">
      <c r="B36" s="32" t="s">
        <v>88</v>
      </c>
      <c r="G36" s="96" t="s">
        <v>201</v>
      </c>
    </row>
    <row r="37" spans="2:7" x14ac:dyDescent="0.35">
      <c r="C37" s="37" t="s">
        <v>89</v>
      </c>
      <c r="D37" s="35">
        <f>+BG!E4-BG!E9</f>
        <v>1603676</v>
      </c>
      <c r="E37" s="97" t="s">
        <v>68</v>
      </c>
      <c r="F37" s="101">
        <f>+D37/D38</f>
        <v>5.8256175530369081</v>
      </c>
      <c r="G37" s="96"/>
    </row>
    <row r="38" spans="2:7" x14ac:dyDescent="0.35">
      <c r="C38" s="38" t="s">
        <v>87</v>
      </c>
      <c r="D38" s="33">
        <f>+D34</f>
        <v>275280</v>
      </c>
      <c r="E38" s="98"/>
      <c r="F38" s="102"/>
      <c r="G38" s="96"/>
    </row>
    <row r="40" spans="2:7" x14ac:dyDescent="0.35">
      <c r="B40" s="32" t="s">
        <v>90</v>
      </c>
      <c r="G40" s="96" t="s">
        <v>202</v>
      </c>
    </row>
    <row r="41" spans="2:7" x14ac:dyDescent="0.35">
      <c r="C41" s="37" t="s">
        <v>91</v>
      </c>
      <c r="D41" s="35">
        <f>+BG!E5</f>
        <v>313431.2</v>
      </c>
      <c r="E41" s="97" t="s">
        <v>68</v>
      </c>
      <c r="F41" s="101">
        <f>+D41/D42</f>
        <v>1.138590526009881</v>
      </c>
      <c r="G41" s="96"/>
    </row>
    <row r="42" spans="2:7" x14ac:dyDescent="0.35">
      <c r="C42" s="38" t="s">
        <v>87</v>
      </c>
      <c r="D42" s="33">
        <f>+D38</f>
        <v>275280</v>
      </c>
      <c r="E42" s="98"/>
      <c r="F42" s="102"/>
      <c r="G42" s="96"/>
    </row>
    <row r="44" spans="2:7" x14ac:dyDescent="0.35">
      <c r="B44" s="32" t="s">
        <v>92</v>
      </c>
    </row>
    <row r="45" spans="2:7" ht="29" x14ac:dyDescent="0.35">
      <c r="C45" s="37" t="s">
        <v>93</v>
      </c>
      <c r="D45" s="35">
        <f>+BG!E4-BG!L4</f>
        <v>1693396</v>
      </c>
      <c r="E45" s="97" t="s">
        <v>68</v>
      </c>
      <c r="F45" s="101">
        <f>+D45/D46</f>
        <v>6.151540249927347</v>
      </c>
      <c r="G45" s="90" t="s">
        <v>203</v>
      </c>
    </row>
    <row r="46" spans="2:7" x14ac:dyDescent="0.35">
      <c r="C46" s="38" t="s">
        <v>87</v>
      </c>
      <c r="D46" s="33">
        <f>+D42</f>
        <v>275280</v>
      </c>
      <c r="E46" s="98"/>
      <c r="F46" s="102"/>
    </row>
    <row r="48" spans="2:7" x14ac:dyDescent="0.35">
      <c r="B48" s="32" t="s">
        <v>94</v>
      </c>
      <c r="G48" s="96" t="s">
        <v>204</v>
      </c>
    </row>
    <row r="49" spans="1:7" x14ac:dyDescent="0.35">
      <c r="B49" s="37" t="s">
        <v>95</v>
      </c>
      <c r="C49" s="98" t="s">
        <v>185</v>
      </c>
      <c r="D49" s="35">
        <f>+BG!E5+BG!E8</f>
        <v>1566231.2</v>
      </c>
      <c r="E49" s="97" t="str">
        <f>CONCATENATE(C49," ")</f>
        <v xml:space="preserve">*90  = </v>
      </c>
      <c r="F49" s="101">
        <f>+D49/D50*90</f>
        <v>191.47080684596577</v>
      </c>
      <c r="G49" s="96"/>
    </row>
    <row r="50" spans="1:7" x14ac:dyDescent="0.35">
      <c r="B50" s="38" t="s">
        <v>96</v>
      </c>
      <c r="C50" s="98"/>
      <c r="D50" s="33">
        <f>+ER!C6+ER!C8</f>
        <v>736200</v>
      </c>
      <c r="E50" s="98"/>
      <c r="F50" s="102"/>
      <c r="G50" s="96"/>
    </row>
    <row r="52" spans="1:7" x14ac:dyDescent="0.35">
      <c r="A52" s="89" t="s">
        <v>189</v>
      </c>
      <c r="B52" s="89"/>
      <c r="C52" s="89"/>
      <c r="D52" s="89"/>
      <c r="E52" s="89"/>
      <c r="F52" s="89"/>
    </row>
    <row r="53" spans="1:7" x14ac:dyDescent="0.35">
      <c r="B53" s="32" t="s">
        <v>97</v>
      </c>
      <c r="G53" s="96" t="s">
        <v>205</v>
      </c>
    </row>
    <row r="54" spans="1:7" x14ac:dyDescent="0.35">
      <c r="C54" s="37" t="s">
        <v>98</v>
      </c>
      <c r="D54" s="35">
        <f>+ER!C6</f>
        <v>540000</v>
      </c>
      <c r="E54" s="97" t="s">
        <v>68</v>
      </c>
      <c r="F54" s="101">
        <f>+D54/D55</f>
        <v>1.4794520547945205</v>
      </c>
      <c r="G54" s="96"/>
    </row>
    <row r="55" spans="1:7" x14ac:dyDescent="0.35">
      <c r="C55" s="38" t="s">
        <v>99</v>
      </c>
      <c r="D55" s="33">
        <f>+(BG!E9+BG!F9)/2</f>
        <v>365000</v>
      </c>
      <c r="E55" s="98"/>
      <c r="F55" s="102"/>
      <c r="G55" s="96"/>
    </row>
    <row r="57" spans="1:7" x14ac:dyDescent="0.35">
      <c r="B57" s="32" t="s">
        <v>100</v>
      </c>
      <c r="G57" s="96" t="s">
        <v>206</v>
      </c>
    </row>
    <row r="58" spans="1:7" x14ac:dyDescent="0.35">
      <c r="C58" s="37">
        <v>90</v>
      </c>
      <c r="D58" s="35">
        <v>90</v>
      </c>
      <c r="E58" s="97" t="s">
        <v>68</v>
      </c>
      <c r="F58" s="101">
        <f>+D58/D59</f>
        <v>60.833333333333336</v>
      </c>
      <c r="G58" s="96"/>
    </row>
    <row r="59" spans="1:7" x14ac:dyDescent="0.35">
      <c r="C59" s="38" t="s">
        <v>101</v>
      </c>
      <c r="D59" s="33">
        <f>+F54</f>
        <v>1.4794520547945205</v>
      </c>
      <c r="E59" s="98"/>
      <c r="F59" s="102"/>
      <c r="G59" s="96"/>
    </row>
    <row r="61" spans="1:7" x14ac:dyDescent="0.35">
      <c r="B61" s="32" t="s">
        <v>102</v>
      </c>
      <c r="G61" s="96" t="s">
        <v>207</v>
      </c>
    </row>
    <row r="62" spans="1:7" x14ac:dyDescent="0.35">
      <c r="C62" s="37" t="s">
        <v>103</v>
      </c>
      <c r="D62" s="35">
        <f>+ER!C5</f>
        <v>1080000</v>
      </c>
      <c r="E62" s="97" t="s">
        <v>68</v>
      </c>
      <c r="F62" s="101">
        <f>+D62/D63</f>
        <v>0.92001022233580376</v>
      </c>
      <c r="G62" s="96"/>
    </row>
    <row r="63" spans="1:7" x14ac:dyDescent="0.35">
      <c r="C63" s="38" t="s">
        <v>104</v>
      </c>
      <c r="D63" s="33">
        <f>+(BG!E8+BG!F8)/2</f>
        <v>1173900</v>
      </c>
      <c r="E63" s="98"/>
      <c r="F63" s="102"/>
      <c r="G63" s="96"/>
    </row>
    <row r="65" spans="2:7" x14ac:dyDescent="0.35">
      <c r="B65" s="32" t="s">
        <v>105</v>
      </c>
      <c r="G65" s="96" t="s">
        <v>208</v>
      </c>
    </row>
    <row r="66" spans="2:7" x14ac:dyDescent="0.35">
      <c r="C66" s="37">
        <v>90</v>
      </c>
      <c r="D66" s="35">
        <v>90</v>
      </c>
      <c r="E66" s="97" t="s">
        <v>68</v>
      </c>
      <c r="F66" s="101">
        <f>+D66/D67</f>
        <v>97.825000000000003</v>
      </c>
      <c r="G66" s="96"/>
    </row>
    <row r="67" spans="2:7" x14ac:dyDescent="0.35">
      <c r="C67" s="38" t="s">
        <v>106</v>
      </c>
      <c r="D67" s="33">
        <f>+F62</f>
        <v>0.92001022233580376</v>
      </c>
      <c r="E67" s="98"/>
      <c r="F67" s="102"/>
      <c r="G67" s="96"/>
    </row>
    <row r="69" spans="2:7" x14ac:dyDescent="0.35">
      <c r="B69" s="32" t="s">
        <v>107</v>
      </c>
      <c r="G69" s="96" t="s">
        <v>209</v>
      </c>
    </row>
    <row r="70" spans="2:7" x14ac:dyDescent="0.35">
      <c r="C70" s="37" t="s">
        <v>98</v>
      </c>
      <c r="D70" s="35">
        <f>+D54</f>
        <v>540000</v>
      </c>
      <c r="E70" s="97" t="s">
        <v>68</v>
      </c>
      <c r="F70" s="101">
        <f>+D70/D71</f>
        <v>2.7289266221952699</v>
      </c>
      <c r="G70" s="96"/>
    </row>
    <row r="71" spans="2:7" x14ac:dyDescent="0.35">
      <c r="C71" s="38" t="s">
        <v>108</v>
      </c>
      <c r="D71" s="33">
        <f>+(BG!L5+BG!M5)/2</f>
        <v>197880</v>
      </c>
      <c r="E71" s="98"/>
      <c r="F71" s="102"/>
      <c r="G71" s="96"/>
    </row>
    <row r="73" spans="2:7" x14ac:dyDescent="0.35">
      <c r="B73" s="32" t="s">
        <v>109</v>
      </c>
      <c r="G73" s="96" t="s">
        <v>210</v>
      </c>
    </row>
    <row r="74" spans="2:7" x14ac:dyDescent="0.35">
      <c r="C74" s="37">
        <v>90</v>
      </c>
      <c r="D74" s="35">
        <v>90</v>
      </c>
      <c r="E74" s="97" t="s">
        <v>68</v>
      </c>
      <c r="F74" s="101">
        <f>+D74/D75</f>
        <v>32.979999999999997</v>
      </c>
      <c r="G74" s="96"/>
    </row>
    <row r="75" spans="2:7" x14ac:dyDescent="0.35">
      <c r="C75" s="38" t="s">
        <v>110</v>
      </c>
      <c r="D75" s="33">
        <f>+F70</f>
        <v>2.7289266221952699</v>
      </c>
      <c r="E75" s="98"/>
      <c r="F75" s="102"/>
      <c r="G75" s="96"/>
    </row>
    <row r="77" spans="2:7" x14ac:dyDescent="0.35">
      <c r="B77" s="32" t="s">
        <v>111</v>
      </c>
      <c r="G77" s="96" t="s">
        <v>211</v>
      </c>
    </row>
    <row r="78" spans="2:7" x14ac:dyDescent="0.35">
      <c r="C78" s="37" t="s">
        <v>103</v>
      </c>
      <c r="D78" s="35">
        <f>+D62</f>
        <v>1080000</v>
      </c>
      <c r="E78" s="97" t="s">
        <v>68</v>
      </c>
      <c r="F78" s="101">
        <f>+D78/D79</f>
        <v>0.63777167301682536</v>
      </c>
      <c r="G78" s="96"/>
    </row>
    <row r="79" spans="2:7" x14ac:dyDescent="0.35">
      <c r="C79" s="38" t="s">
        <v>93</v>
      </c>
      <c r="D79" s="33">
        <f>+BG!E4-BG!L4</f>
        <v>1693396</v>
      </c>
      <c r="E79" s="98"/>
      <c r="F79" s="102"/>
      <c r="G79" s="96"/>
    </row>
    <row r="81" spans="1:7" x14ac:dyDescent="0.35">
      <c r="A81" s="89" t="s">
        <v>190</v>
      </c>
      <c r="B81" s="89"/>
      <c r="C81" s="89"/>
      <c r="D81" s="89"/>
      <c r="E81" s="89"/>
      <c r="F81" s="89"/>
    </row>
    <row r="82" spans="1:7" x14ac:dyDescent="0.35">
      <c r="B82" s="32" t="s">
        <v>112</v>
      </c>
      <c r="G82" s="96" t="s">
        <v>212</v>
      </c>
    </row>
    <row r="83" spans="1:7" x14ac:dyDescent="0.35">
      <c r="C83" s="37" t="s">
        <v>103</v>
      </c>
      <c r="D83" s="35">
        <f>+D78</f>
        <v>1080000</v>
      </c>
      <c r="E83" s="97" t="s">
        <v>68</v>
      </c>
      <c r="F83" s="101">
        <f>+D83/D84</f>
        <v>0.54604056832670855</v>
      </c>
      <c r="G83" s="96"/>
    </row>
    <row r="84" spans="1:7" x14ac:dyDescent="0.35">
      <c r="C84" s="38" t="s">
        <v>113</v>
      </c>
      <c r="D84" s="33">
        <f>+BG!E15+BG!E16</f>
        <v>1977875.02</v>
      </c>
      <c r="E84" s="98"/>
      <c r="F84" s="102"/>
      <c r="G84" s="96"/>
    </row>
    <row r="86" spans="1:7" x14ac:dyDescent="0.35">
      <c r="B86" s="32" t="s">
        <v>114</v>
      </c>
      <c r="G86" s="96" t="s">
        <v>213</v>
      </c>
    </row>
    <row r="87" spans="1:7" x14ac:dyDescent="0.35">
      <c r="C87" s="37" t="s">
        <v>103</v>
      </c>
      <c r="D87" s="35">
        <f>+D83</f>
        <v>1080000</v>
      </c>
      <c r="E87" s="97" t="s">
        <v>68</v>
      </c>
      <c r="F87" s="101">
        <f>+D87/D88</f>
        <v>0.27365666743616557</v>
      </c>
      <c r="G87" s="96"/>
    </row>
    <row r="88" spans="1:7" x14ac:dyDescent="0.35">
      <c r="C88" s="38" t="s">
        <v>72</v>
      </c>
      <c r="D88" s="33">
        <f>+BG!E21</f>
        <v>3946551.02</v>
      </c>
      <c r="E88" s="98"/>
      <c r="F88" s="102"/>
      <c r="G88" s="96"/>
    </row>
    <row r="90" spans="1:7" x14ac:dyDescent="0.35">
      <c r="A90" s="89" t="s">
        <v>191</v>
      </c>
      <c r="B90" s="89"/>
      <c r="C90" s="89"/>
      <c r="D90" s="89"/>
      <c r="E90" s="89"/>
      <c r="F90" s="89"/>
    </row>
    <row r="91" spans="1:7" x14ac:dyDescent="0.35">
      <c r="B91" s="32" t="s">
        <v>115</v>
      </c>
    </row>
    <row r="92" spans="1:7" ht="14.5" customHeight="1" x14ac:dyDescent="0.35">
      <c r="C92" s="37" t="s">
        <v>116</v>
      </c>
      <c r="D92" s="35">
        <f>+ER!C7</f>
        <v>540000</v>
      </c>
      <c r="E92" s="97" t="s">
        <v>68</v>
      </c>
      <c r="F92" s="101">
        <f>+D92/D93</f>
        <v>0.5</v>
      </c>
      <c r="G92" s="96" t="s">
        <v>214</v>
      </c>
    </row>
    <row r="93" spans="1:7" x14ac:dyDescent="0.35">
      <c r="C93" s="38" t="s">
        <v>103</v>
      </c>
      <c r="D93" s="33">
        <f>+D87</f>
        <v>1080000</v>
      </c>
      <c r="E93" s="98"/>
      <c r="F93" s="102"/>
      <c r="G93" s="96"/>
    </row>
    <row r="94" spans="1:7" x14ac:dyDescent="0.35">
      <c r="G94" s="96"/>
    </row>
    <row r="95" spans="1:7" x14ac:dyDescent="0.35">
      <c r="B95" s="32" t="s">
        <v>117</v>
      </c>
    </row>
    <row r="96" spans="1:7" x14ac:dyDescent="0.35">
      <c r="C96" s="37" t="s">
        <v>120</v>
      </c>
      <c r="D96" s="35">
        <f>+ER!C11</f>
        <v>301675.02</v>
      </c>
      <c r="E96" s="97" t="s">
        <v>68</v>
      </c>
      <c r="F96" s="101">
        <f>+D96/D97</f>
        <v>0.27932872222222221</v>
      </c>
      <c r="G96" s="96" t="s">
        <v>215</v>
      </c>
    </row>
    <row r="97" spans="2:7" x14ac:dyDescent="0.35">
      <c r="C97" s="38" t="s">
        <v>103</v>
      </c>
      <c r="D97" s="33">
        <f>+D93</f>
        <v>1080000</v>
      </c>
      <c r="E97" s="98"/>
      <c r="F97" s="102"/>
      <c r="G97" s="96"/>
    </row>
    <row r="98" spans="2:7" x14ac:dyDescent="0.35">
      <c r="G98" s="96"/>
    </row>
    <row r="99" spans="2:7" x14ac:dyDescent="0.35">
      <c r="B99" s="32" t="s">
        <v>118</v>
      </c>
    </row>
    <row r="100" spans="2:7" x14ac:dyDescent="0.35">
      <c r="C100" s="37" t="s">
        <v>70</v>
      </c>
      <c r="D100" s="35">
        <f>+ER!C11</f>
        <v>301675.02</v>
      </c>
      <c r="E100" s="97" t="s">
        <v>68</v>
      </c>
      <c r="F100" s="101">
        <f>+D100/D101</f>
        <v>0.27932872222222221</v>
      </c>
      <c r="G100" s="96" t="s">
        <v>216</v>
      </c>
    </row>
    <row r="101" spans="2:7" x14ac:dyDescent="0.35">
      <c r="C101" s="38" t="s">
        <v>103</v>
      </c>
      <c r="D101" s="33">
        <f>+D97</f>
        <v>1080000</v>
      </c>
      <c r="E101" s="98"/>
      <c r="F101" s="102"/>
      <c r="G101" s="96"/>
    </row>
    <row r="102" spans="2:7" x14ac:dyDescent="0.35">
      <c r="G102" s="96"/>
    </row>
    <row r="103" spans="2:7" x14ac:dyDescent="0.35">
      <c r="B103" s="32" t="s">
        <v>119</v>
      </c>
    </row>
    <row r="104" spans="2:7" x14ac:dyDescent="0.35">
      <c r="C104" s="37" t="s">
        <v>121</v>
      </c>
      <c r="D104" s="35">
        <f>+ER!C9</f>
        <v>343800</v>
      </c>
      <c r="E104" s="97" t="s">
        <v>68</v>
      </c>
      <c r="F104" s="101">
        <f>+D104/D105</f>
        <v>0.31833333333333336</v>
      </c>
      <c r="G104" s="96" t="s">
        <v>217</v>
      </c>
    </row>
    <row r="105" spans="2:7" x14ac:dyDescent="0.35">
      <c r="C105" s="38" t="s">
        <v>103</v>
      </c>
      <c r="D105" s="33">
        <f>+D101</f>
        <v>1080000</v>
      </c>
      <c r="E105" s="98"/>
      <c r="F105" s="102"/>
      <c r="G105" s="96"/>
    </row>
    <row r="106" spans="2:7" x14ac:dyDescent="0.35">
      <c r="G106" s="96"/>
    </row>
    <row r="107" spans="2:7" x14ac:dyDescent="0.35">
      <c r="B107" s="32" t="s">
        <v>122</v>
      </c>
    </row>
    <row r="108" spans="2:7" x14ac:dyDescent="0.35">
      <c r="C108" s="37" t="s">
        <v>123</v>
      </c>
      <c r="D108" s="35">
        <f>+ER!C15</f>
        <v>171271.02000000002</v>
      </c>
      <c r="E108" s="97" t="s">
        <v>68</v>
      </c>
      <c r="F108" s="101">
        <f>+D108/D109</f>
        <v>0.15858427777777778</v>
      </c>
      <c r="G108" s="96" t="s">
        <v>218</v>
      </c>
    </row>
    <row r="109" spans="2:7" x14ac:dyDescent="0.35">
      <c r="C109" s="38" t="s">
        <v>103</v>
      </c>
      <c r="D109" s="33">
        <f>+D105</f>
        <v>1080000</v>
      </c>
      <c r="E109" s="98"/>
      <c r="F109" s="102"/>
      <c r="G109" s="96"/>
    </row>
    <row r="110" spans="2:7" x14ac:dyDescent="0.35">
      <c r="G110" s="96"/>
    </row>
    <row r="111" spans="2:7" x14ac:dyDescent="0.35">
      <c r="B111" s="32" t="s">
        <v>124</v>
      </c>
    </row>
    <row r="112" spans="2:7" x14ac:dyDescent="0.35">
      <c r="C112" s="37" t="s">
        <v>125</v>
      </c>
      <c r="D112" s="35">
        <f>+D108</f>
        <v>171271.02000000002</v>
      </c>
      <c r="E112" s="97" t="s">
        <v>68</v>
      </c>
      <c r="F112" s="101">
        <f>+D112/D113</f>
        <v>342.54204000000004</v>
      </c>
      <c r="G112" s="96" t="s">
        <v>219</v>
      </c>
    </row>
    <row r="113" spans="1:7" x14ac:dyDescent="0.35">
      <c r="C113" s="38" t="s">
        <v>113</v>
      </c>
      <c r="D113" s="33">
        <v>500</v>
      </c>
      <c r="E113" s="98"/>
      <c r="F113" s="102"/>
      <c r="G113" s="96"/>
    </row>
    <row r="114" spans="1:7" x14ac:dyDescent="0.35">
      <c r="G114" s="96"/>
    </row>
    <row r="115" spans="1:7" x14ac:dyDescent="0.35">
      <c r="B115" s="32" t="s">
        <v>128</v>
      </c>
    </row>
    <row r="116" spans="1:7" x14ac:dyDescent="0.35">
      <c r="C116" s="37" t="s">
        <v>129</v>
      </c>
      <c r="D116" s="35">
        <f>+ER!C5-ER!D5</f>
        <v>80000</v>
      </c>
      <c r="E116" s="97" t="s">
        <v>68</v>
      </c>
      <c r="F116" s="101">
        <f>+D116/D117</f>
        <v>0.08</v>
      </c>
      <c r="G116" s="96" t="s">
        <v>220</v>
      </c>
    </row>
    <row r="117" spans="1:7" x14ac:dyDescent="0.35">
      <c r="C117" s="38" t="s">
        <v>130</v>
      </c>
      <c r="D117" s="33">
        <f>+ER!D5</f>
        <v>1000000</v>
      </c>
      <c r="E117" s="98"/>
      <c r="F117" s="102"/>
      <c r="G117" s="96"/>
    </row>
    <row r="118" spans="1:7" x14ac:dyDescent="0.35">
      <c r="G118" s="96"/>
    </row>
    <row r="119" spans="1:7" x14ac:dyDescent="0.35">
      <c r="B119" s="32" t="s">
        <v>131</v>
      </c>
    </row>
    <row r="120" spans="1:7" x14ac:dyDescent="0.35">
      <c r="C120" s="37" t="s">
        <v>132</v>
      </c>
      <c r="D120" s="35">
        <f>+ER!C8</f>
        <v>196200</v>
      </c>
      <c r="E120" s="97" t="s">
        <v>68</v>
      </c>
      <c r="F120" s="101">
        <f>+D120/D121</f>
        <v>0.18166666666666667</v>
      </c>
      <c r="G120" s="96" t="s">
        <v>221</v>
      </c>
    </row>
    <row r="121" spans="1:7" x14ac:dyDescent="0.35">
      <c r="C121" s="38" t="s">
        <v>103</v>
      </c>
      <c r="D121" s="33">
        <f>+D109</f>
        <v>1080000</v>
      </c>
      <c r="E121" s="98"/>
      <c r="F121" s="102"/>
      <c r="G121" s="96"/>
    </row>
    <row r="122" spans="1:7" x14ac:dyDescent="0.35">
      <c r="G122" s="96"/>
    </row>
    <row r="123" spans="1:7" x14ac:dyDescent="0.35">
      <c r="B123" s="32" t="s">
        <v>133</v>
      </c>
    </row>
    <row r="124" spans="1:7" x14ac:dyDescent="0.35">
      <c r="C124" s="37" t="s">
        <v>134</v>
      </c>
      <c r="D124" s="35">
        <f>+D121-ER!C6</f>
        <v>540000</v>
      </c>
      <c r="E124" s="97" t="s">
        <v>68</v>
      </c>
      <c r="F124" s="101">
        <f>+D124/D125</f>
        <v>0.5</v>
      </c>
      <c r="G124" s="96" t="s">
        <v>214</v>
      </c>
    </row>
    <row r="125" spans="1:7" x14ac:dyDescent="0.35">
      <c r="C125" s="38" t="s">
        <v>103</v>
      </c>
      <c r="D125" s="33">
        <f>+D121</f>
        <v>1080000</v>
      </c>
      <c r="E125" s="98"/>
      <c r="F125" s="102"/>
      <c r="G125" s="96"/>
    </row>
    <row r="126" spans="1:7" x14ac:dyDescent="0.35">
      <c r="G126" s="96"/>
    </row>
    <row r="127" spans="1:7" x14ac:dyDescent="0.35">
      <c r="A127" s="89" t="s">
        <v>192</v>
      </c>
      <c r="B127" s="89"/>
      <c r="C127" s="89"/>
      <c r="D127" s="89"/>
      <c r="E127" s="89"/>
      <c r="F127" s="89"/>
    </row>
    <row r="128" spans="1:7" x14ac:dyDescent="0.35">
      <c r="B128" s="32" t="s">
        <v>135</v>
      </c>
      <c r="G128" s="96" t="s">
        <v>222</v>
      </c>
    </row>
    <row r="129" spans="2:7" x14ac:dyDescent="0.35">
      <c r="C129" s="37" t="s">
        <v>123</v>
      </c>
      <c r="D129" s="35">
        <f>+ER!C15</f>
        <v>171271.02000000002</v>
      </c>
      <c r="E129" s="97" t="s">
        <v>68</v>
      </c>
      <c r="F129" s="101">
        <f>+D129/D130</f>
        <v>4.3397644964437841E-2</v>
      </c>
      <c r="G129" s="96"/>
    </row>
    <row r="130" spans="2:7" x14ac:dyDescent="0.35">
      <c r="C130" s="38" t="s">
        <v>72</v>
      </c>
      <c r="D130" s="33">
        <f>+BG!E21</f>
        <v>3946551.02</v>
      </c>
      <c r="E130" s="98"/>
      <c r="F130" s="102"/>
      <c r="G130" s="96"/>
    </row>
    <row r="132" spans="2:7" x14ac:dyDescent="0.35">
      <c r="B132" s="32" t="s">
        <v>136</v>
      </c>
      <c r="G132" s="96" t="s">
        <v>223</v>
      </c>
    </row>
    <row r="133" spans="2:7" x14ac:dyDescent="0.35">
      <c r="C133" s="37" t="s">
        <v>123</v>
      </c>
      <c r="D133" s="35">
        <f>+D129</f>
        <v>171271.02000000002</v>
      </c>
      <c r="E133" s="97" t="s">
        <v>68</v>
      </c>
      <c r="F133" s="101">
        <f>+D133/D134</f>
        <v>7.4465660869565228E-2</v>
      </c>
      <c r="G133" s="96"/>
    </row>
    <row r="134" spans="2:7" x14ac:dyDescent="0.35">
      <c r="C134" s="38" t="s">
        <v>137</v>
      </c>
      <c r="D134" s="33">
        <f>+BG!L14</f>
        <v>2300000</v>
      </c>
      <c r="E134" s="98"/>
      <c r="F134" s="102"/>
      <c r="G134" s="96"/>
    </row>
    <row r="136" spans="2:7" x14ac:dyDescent="0.35">
      <c r="B136" s="32" t="s">
        <v>138</v>
      </c>
    </row>
    <row r="137" spans="2:7" x14ac:dyDescent="0.35">
      <c r="C137" s="37" t="s">
        <v>123</v>
      </c>
      <c r="D137" s="35">
        <f>+D133</f>
        <v>171271.02000000002</v>
      </c>
      <c r="E137" s="97" t="s">
        <v>68</v>
      </c>
      <c r="F137" s="103">
        <f>+D137/D138</f>
        <v>6.9304830839638148E-2</v>
      </c>
      <c r="G137" s="96" t="s">
        <v>224</v>
      </c>
    </row>
    <row r="138" spans="2:7" x14ac:dyDescent="0.35">
      <c r="C138" s="38" t="s">
        <v>137</v>
      </c>
      <c r="D138" s="33">
        <f>+BG!L19</f>
        <v>2471271.02</v>
      </c>
      <c r="E138" s="98"/>
      <c r="F138" s="103"/>
      <c r="G138" s="96"/>
    </row>
    <row r="139" spans="2:7" x14ac:dyDescent="0.35">
      <c r="G139" s="96"/>
    </row>
  </sheetData>
  <mergeCells count="95">
    <mergeCell ref="G124:G126"/>
    <mergeCell ref="G128:G130"/>
    <mergeCell ref="G132:G134"/>
    <mergeCell ref="G137:G139"/>
    <mergeCell ref="G104:G106"/>
    <mergeCell ref="G108:G110"/>
    <mergeCell ref="G112:G114"/>
    <mergeCell ref="G116:G118"/>
    <mergeCell ref="G120:G122"/>
    <mergeCell ref="C49:C50"/>
    <mergeCell ref="E133:E134"/>
    <mergeCell ref="F133:F134"/>
    <mergeCell ref="E137:E138"/>
    <mergeCell ref="F137:F138"/>
    <mergeCell ref="E120:E121"/>
    <mergeCell ref="F120:F121"/>
    <mergeCell ref="E124:E125"/>
    <mergeCell ref="F124:F125"/>
    <mergeCell ref="E129:E130"/>
    <mergeCell ref="F129:F130"/>
    <mergeCell ref="E108:E109"/>
    <mergeCell ref="F108:F109"/>
    <mergeCell ref="E112:E113"/>
    <mergeCell ref="F112:F113"/>
    <mergeCell ref="E116:E117"/>
    <mergeCell ref="F116:F117"/>
    <mergeCell ref="E96:E97"/>
    <mergeCell ref="F96:F97"/>
    <mergeCell ref="E100:E101"/>
    <mergeCell ref="F100:F101"/>
    <mergeCell ref="E104:E105"/>
    <mergeCell ref="F104:F105"/>
    <mergeCell ref="E83:E84"/>
    <mergeCell ref="F83:F84"/>
    <mergeCell ref="E87:E88"/>
    <mergeCell ref="F87:F88"/>
    <mergeCell ref="E92:E93"/>
    <mergeCell ref="F92:F93"/>
    <mergeCell ref="E70:E71"/>
    <mergeCell ref="F70:F71"/>
    <mergeCell ref="E74:E75"/>
    <mergeCell ref="F74:F75"/>
    <mergeCell ref="E78:E79"/>
    <mergeCell ref="F78:F79"/>
    <mergeCell ref="E58:E59"/>
    <mergeCell ref="F58:F59"/>
    <mergeCell ref="E62:E63"/>
    <mergeCell ref="F62:F63"/>
    <mergeCell ref="E66:E67"/>
    <mergeCell ref="F66:F67"/>
    <mergeCell ref="E45:E46"/>
    <mergeCell ref="F45:F46"/>
    <mergeCell ref="E49:E50"/>
    <mergeCell ref="F49:F50"/>
    <mergeCell ref="E54:E55"/>
    <mergeCell ref="F54:F55"/>
    <mergeCell ref="E33:E34"/>
    <mergeCell ref="F33:F34"/>
    <mergeCell ref="E37:E38"/>
    <mergeCell ref="F37:F38"/>
    <mergeCell ref="E41:E42"/>
    <mergeCell ref="F41:F42"/>
    <mergeCell ref="E16:E17"/>
    <mergeCell ref="F16:F17"/>
    <mergeCell ref="E24:E25"/>
    <mergeCell ref="F24:F25"/>
    <mergeCell ref="E28:E29"/>
    <mergeCell ref="F28:F29"/>
    <mergeCell ref="E3:E4"/>
    <mergeCell ref="F3:F4"/>
    <mergeCell ref="E7:E8"/>
    <mergeCell ref="F7:F8"/>
    <mergeCell ref="E12:E13"/>
    <mergeCell ref="F12:F13"/>
    <mergeCell ref="G2:G4"/>
    <mergeCell ref="G6:G8"/>
    <mergeCell ref="G11:G13"/>
    <mergeCell ref="G23:G25"/>
    <mergeCell ref="G27:G29"/>
    <mergeCell ref="G32:G34"/>
    <mergeCell ref="G36:G38"/>
    <mergeCell ref="G40:G42"/>
    <mergeCell ref="G48:G50"/>
    <mergeCell ref="G53:G55"/>
    <mergeCell ref="G57:G59"/>
    <mergeCell ref="G61:G63"/>
    <mergeCell ref="G65:G67"/>
    <mergeCell ref="G69:G71"/>
    <mergeCell ref="G73:G75"/>
    <mergeCell ref="G96:G98"/>
    <mergeCell ref="G100:G102"/>
    <mergeCell ref="G77:G79"/>
    <mergeCell ref="G82:G84"/>
    <mergeCell ref="G86:G88"/>
    <mergeCell ref="G92:G94"/>
  </mergeCells>
  <pageMargins left="0.38" right="0.25" top="0.18" bottom="0.48" header="0.13" footer="0.47"/>
  <pageSetup scale="74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zoomScale="50" zoomScaleNormal="50" workbookViewId="0">
      <selection activeCell="A10" sqref="A10"/>
    </sheetView>
  </sheetViews>
  <sheetFormatPr baseColWidth="10" defaultColWidth="11.54296875" defaultRowHeight="14.5" x14ac:dyDescent="0.35"/>
  <cols>
    <col min="1" max="1" width="16.453125" style="42" customWidth="1"/>
    <col min="2" max="2" width="13.6328125" style="42" bestFit="1" customWidth="1"/>
    <col min="3" max="3" width="11.54296875" style="42"/>
    <col min="4" max="4" width="13.81640625" style="42" customWidth="1"/>
    <col min="5" max="5" width="13.6328125" style="42" bestFit="1" customWidth="1"/>
    <col min="6" max="6" width="15.81640625" style="42" customWidth="1"/>
    <col min="7" max="8" width="11.54296875" style="42"/>
    <col min="9" max="9" width="13.81640625" style="42" customWidth="1"/>
    <col min="10" max="10" width="11.54296875" style="42"/>
    <col min="11" max="11" width="14.36328125" style="42" customWidth="1"/>
    <col min="12" max="12" width="11.54296875" style="42"/>
    <col min="13" max="13" width="14.6328125" style="42" customWidth="1"/>
    <col min="14" max="14" width="12.08984375" style="42" bestFit="1" customWidth="1"/>
    <col min="15" max="15" width="13.81640625" style="42" customWidth="1"/>
    <col min="16" max="16" width="12.08984375" style="42" bestFit="1" customWidth="1"/>
    <col min="17" max="17" width="11.54296875" style="42"/>
    <col min="18" max="24" width="11.54296875" style="76"/>
    <col min="25" max="32" width="12.90625" style="76" customWidth="1"/>
    <col min="33" max="16384" width="11.54296875" style="76"/>
  </cols>
  <sheetData>
    <row r="1" spans="2:32" x14ac:dyDescent="0.35">
      <c r="X1" s="105" t="s">
        <v>154</v>
      </c>
      <c r="Y1" s="106"/>
    </row>
    <row r="2" spans="2:32" ht="15" thickBot="1" x14ac:dyDescent="0.4">
      <c r="X2" s="48">
        <f>+V6/Z6</f>
        <v>6.9304830839638135E-2</v>
      </c>
      <c r="Y2" s="59" t="e">
        <f>+W6/AA6</f>
        <v>#DIV/0!</v>
      </c>
    </row>
    <row r="3" spans="2:32" x14ac:dyDescent="0.35">
      <c r="X3" s="77"/>
    </row>
    <row r="4" spans="2:32" ht="15" thickBot="1" x14ac:dyDescent="0.4">
      <c r="W4" s="78"/>
      <c r="X4" s="79"/>
      <c r="Y4" s="79"/>
      <c r="Z4" s="80"/>
    </row>
    <row r="5" spans="2:32" x14ac:dyDescent="0.35">
      <c r="G5" s="105" t="s">
        <v>150</v>
      </c>
      <c r="H5" s="106"/>
      <c r="I5" s="86"/>
      <c r="J5" s="87"/>
      <c r="K5" s="87"/>
      <c r="L5" s="87"/>
      <c r="M5" s="87"/>
      <c r="N5" s="87"/>
      <c r="O5" s="87"/>
      <c r="P5" s="87"/>
      <c r="Q5" s="87"/>
      <c r="R5" s="81"/>
      <c r="S5" s="81"/>
      <c r="T5" s="81"/>
      <c r="U5" s="88"/>
      <c r="V5" s="105" t="s">
        <v>150</v>
      </c>
      <c r="W5" s="106"/>
      <c r="Y5" s="42"/>
      <c r="Z5" s="105" t="s">
        <v>153</v>
      </c>
      <c r="AA5" s="106"/>
    </row>
    <row r="6" spans="2:32" ht="15" thickBot="1" x14ac:dyDescent="0.4">
      <c r="G6" s="48">
        <f>+D10*K10</f>
        <v>4.3397644964437834E-2</v>
      </c>
      <c r="H6" s="59" t="e">
        <f>+E10*L10</f>
        <v>#DIV/0!</v>
      </c>
      <c r="V6" s="48">
        <f>+G6</f>
        <v>4.3397644964437834E-2</v>
      </c>
      <c r="W6" s="59" t="e">
        <f>+H6</f>
        <v>#DIV/0!</v>
      </c>
      <c r="Y6" s="42"/>
      <c r="Z6" s="61">
        <f>+AE10/M14</f>
        <v>0.62618499228219782</v>
      </c>
      <c r="AA6" s="43" t="e">
        <f>+AF10/N14</f>
        <v>#DIV/0!</v>
      </c>
    </row>
    <row r="7" spans="2:32" x14ac:dyDescent="0.35">
      <c r="G7" s="44"/>
      <c r="Y7" s="42"/>
      <c r="Z7" s="44"/>
      <c r="AA7" s="42"/>
      <c r="AB7" s="81"/>
      <c r="AC7" s="81"/>
      <c r="AD7" s="81"/>
    </row>
    <row r="8" spans="2:32" ht="15" thickBot="1" x14ac:dyDescent="0.4">
      <c r="E8" s="45"/>
      <c r="F8" s="46"/>
      <c r="G8" s="46"/>
      <c r="H8" s="46"/>
      <c r="I8" s="46"/>
      <c r="J8" s="46"/>
      <c r="K8" s="47"/>
      <c r="Y8" s="42"/>
      <c r="Z8" s="45"/>
      <c r="AA8" s="46"/>
      <c r="AB8" s="42"/>
      <c r="AC8" s="62"/>
      <c r="AE8" s="47"/>
      <c r="AF8" s="42"/>
    </row>
    <row r="9" spans="2:32" x14ac:dyDescent="0.35">
      <c r="D9" s="105" t="s">
        <v>144</v>
      </c>
      <c r="E9" s="106"/>
      <c r="H9" s="85"/>
      <c r="K9" s="105" t="s">
        <v>145</v>
      </c>
      <c r="L9" s="106"/>
      <c r="Y9" s="104" t="s">
        <v>146</v>
      </c>
      <c r="Z9" s="104"/>
      <c r="AA9" s="54"/>
      <c r="AB9" s="104" t="s">
        <v>151</v>
      </c>
      <c r="AC9" s="104"/>
      <c r="AE9" s="104" t="s">
        <v>152</v>
      </c>
      <c r="AF9" s="104"/>
    </row>
    <row r="10" spans="2:32" ht="15" thickBot="1" x14ac:dyDescent="0.4">
      <c r="D10" s="48">
        <f>+B14/F14</f>
        <v>0.15858427777777778</v>
      </c>
      <c r="E10" s="59" t="e">
        <f>+C14/G14</f>
        <v>#DIV/0!</v>
      </c>
      <c r="K10" s="60">
        <f>+I14/M14</f>
        <v>0.27365666743616557</v>
      </c>
      <c r="L10" s="49" t="e">
        <f>+J14/N14</f>
        <v>#DIV/0!</v>
      </c>
      <c r="Y10" s="63">
        <f>+M14</f>
        <v>3946551.02</v>
      </c>
      <c r="Z10" s="64">
        <f>+N14</f>
        <v>0</v>
      </c>
      <c r="AA10" s="54"/>
      <c r="AB10" s="63">
        <f>+BG!L11</f>
        <v>1475280</v>
      </c>
      <c r="AC10" s="57"/>
      <c r="AE10" s="63">
        <f>+Y10-AB10</f>
        <v>2471271.02</v>
      </c>
      <c r="AF10" s="64"/>
    </row>
    <row r="11" spans="2:32" x14ac:dyDescent="0.35">
      <c r="D11" s="44"/>
      <c r="K11" s="44"/>
    </row>
    <row r="12" spans="2:32" x14ac:dyDescent="0.35">
      <c r="C12" s="45"/>
      <c r="D12" s="46"/>
      <c r="E12" s="46"/>
      <c r="F12" s="47"/>
      <c r="J12" s="45"/>
      <c r="K12" s="46"/>
      <c r="L12" s="46"/>
      <c r="M12" s="47"/>
    </row>
    <row r="13" spans="2:32" x14ac:dyDescent="0.35">
      <c r="B13" s="104" t="s">
        <v>40</v>
      </c>
      <c r="C13" s="104"/>
      <c r="F13" s="104" t="s">
        <v>30</v>
      </c>
      <c r="G13" s="104"/>
      <c r="I13" s="104" t="s">
        <v>30</v>
      </c>
      <c r="J13" s="104"/>
      <c r="M13" s="104" t="s">
        <v>146</v>
      </c>
      <c r="N13" s="104"/>
    </row>
    <row r="14" spans="2:32" x14ac:dyDescent="0.35">
      <c r="B14" s="50">
        <f>+A18-D18-D21-D24-D27</f>
        <v>171271.02000000002</v>
      </c>
      <c r="C14" s="51">
        <f>+B18-E18-E21-E24-E27</f>
        <v>0</v>
      </c>
      <c r="F14" s="50">
        <f>+A18</f>
        <v>1080000</v>
      </c>
      <c r="G14" s="51">
        <f>+B18</f>
        <v>0</v>
      </c>
      <c r="I14" s="50">
        <f>+A18</f>
        <v>1080000</v>
      </c>
      <c r="J14" s="51">
        <f>+B18</f>
        <v>0</v>
      </c>
      <c r="M14" s="50">
        <f>+K18+O18</f>
        <v>3946551.02</v>
      </c>
      <c r="N14" s="51">
        <f>+L18+P18</f>
        <v>0</v>
      </c>
    </row>
    <row r="15" spans="2:32" x14ac:dyDescent="0.35">
      <c r="B15" s="52"/>
      <c r="M15" s="53"/>
      <c r="U15" s="82"/>
    </row>
    <row r="16" spans="2:32" x14ac:dyDescent="0.35">
      <c r="B16" s="45"/>
      <c r="C16" s="46"/>
      <c r="D16" s="47"/>
      <c r="L16" s="45"/>
      <c r="M16" s="46"/>
      <c r="N16" s="46"/>
      <c r="O16" s="47"/>
    </row>
    <row r="17" spans="1:16" x14ac:dyDescent="0.35">
      <c r="A17" s="104" t="s">
        <v>30</v>
      </c>
      <c r="B17" s="104"/>
      <c r="D17" s="104" t="s">
        <v>142</v>
      </c>
      <c r="E17" s="104"/>
      <c r="K17" s="104" t="s">
        <v>147</v>
      </c>
      <c r="L17" s="104"/>
      <c r="M17" s="54"/>
      <c r="N17" s="54"/>
      <c r="O17" s="104" t="s">
        <v>148</v>
      </c>
      <c r="P17" s="104"/>
    </row>
    <row r="18" spans="1:16" x14ac:dyDescent="0.35">
      <c r="A18" s="63">
        <f>+ER!C5</f>
        <v>1080000</v>
      </c>
      <c r="B18" s="57"/>
      <c r="C18" s="83">
        <f>+D18/$A$18</f>
        <v>0.5</v>
      </c>
      <c r="D18" s="63">
        <f>+ER!C6</f>
        <v>540000</v>
      </c>
      <c r="E18" s="57"/>
      <c r="K18" s="50">
        <f>M21+M24+M27+M30</f>
        <v>1968676</v>
      </c>
      <c r="L18" s="51">
        <f>+N21+N24+N27+N30</f>
        <v>0</v>
      </c>
      <c r="M18" s="54"/>
      <c r="N18" s="54"/>
      <c r="O18" s="63">
        <f>+BG!E14</f>
        <v>1977875.02</v>
      </c>
      <c r="P18" s="57"/>
    </row>
    <row r="19" spans="1:16" x14ac:dyDescent="0.35">
      <c r="D19" s="52"/>
      <c r="K19" s="47"/>
      <c r="M19" s="54"/>
      <c r="N19" s="54"/>
    </row>
    <row r="20" spans="1:16" x14ac:dyDescent="0.35">
      <c r="D20" s="104" t="s">
        <v>143</v>
      </c>
      <c r="E20" s="104"/>
      <c r="K20" s="55"/>
      <c r="L20" s="56"/>
      <c r="M20" s="104" t="s">
        <v>3</v>
      </c>
      <c r="N20" s="104"/>
    </row>
    <row r="21" spans="1:16" x14ac:dyDescent="0.35">
      <c r="C21" s="83">
        <f>+D21/$A$18</f>
        <v>0.22067127777777779</v>
      </c>
      <c r="D21" s="63">
        <f>+ER!C8+ER!C10</f>
        <v>238324.98</v>
      </c>
      <c r="E21" s="57"/>
      <c r="K21" s="55"/>
      <c r="L21" s="84"/>
      <c r="M21" s="63">
        <f>+BG!E6</f>
        <v>313431.2</v>
      </c>
      <c r="N21" s="57"/>
    </row>
    <row r="22" spans="1:16" x14ac:dyDescent="0.35">
      <c r="D22" s="52"/>
      <c r="K22" s="55"/>
    </row>
    <row r="23" spans="1:16" x14ac:dyDescent="0.35">
      <c r="D23" s="104" t="s">
        <v>71</v>
      </c>
      <c r="E23" s="104"/>
      <c r="K23" s="55"/>
      <c r="L23" s="56"/>
      <c r="M23" s="104" t="s">
        <v>5</v>
      </c>
      <c r="N23" s="104"/>
    </row>
    <row r="24" spans="1:16" x14ac:dyDescent="0.35">
      <c r="C24" s="83">
        <f>+D24/$A$18</f>
        <v>5.2777777777777778E-2</v>
      </c>
      <c r="D24" s="63">
        <f>+ER!C12</f>
        <v>57000</v>
      </c>
      <c r="E24" s="57"/>
      <c r="K24" s="55"/>
      <c r="M24" s="63">
        <f>+BG!E8</f>
        <v>1252800</v>
      </c>
      <c r="N24" s="57"/>
    </row>
    <row r="25" spans="1:16" x14ac:dyDescent="0.35">
      <c r="D25" s="52"/>
      <c r="K25" s="55"/>
    </row>
    <row r="26" spans="1:16" x14ac:dyDescent="0.35">
      <c r="D26" s="104" t="s">
        <v>39</v>
      </c>
      <c r="E26" s="104"/>
      <c r="K26" s="55"/>
      <c r="L26" s="56"/>
      <c r="M26" s="104" t="s">
        <v>6</v>
      </c>
      <c r="N26" s="104"/>
    </row>
    <row r="27" spans="1:16" x14ac:dyDescent="0.35">
      <c r="C27" s="83">
        <f>+D27/$A$18</f>
        <v>6.7966666666666661E-2</v>
      </c>
      <c r="D27" s="63">
        <f>+ER!C14</f>
        <v>73404</v>
      </c>
      <c r="E27" s="57"/>
      <c r="K27" s="55"/>
      <c r="M27" s="63">
        <f>+BG!E9</f>
        <v>365000</v>
      </c>
      <c r="N27" s="57"/>
    </row>
    <row r="28" spans="1:16" x14ac:dyDescent="0.35">
      <c r="K28" s="55"/>
    </row>
    <row r="29" spans="1:16" x14ac:dyDescent="0.35">
      <c r="K29" s="55"/>
      <c r="L29" s="56"/>
      <c r="M29" s="104" t="s">
        <v>149</v>
      </c>
      <c r="N29" s="104"/>
    </row>
    <row r="30" spans="1:16" x14ac:dyDescent="0.35">
      <c r="M30" s="63">
        <f>+BG!E11</f>
        <v>37444.800000000003</v>
      </c>
      <c r="N30" s="57"/>
    </row>
    <row r="31" spans="1:16" x14ac:dyDescent="0.35">
      <c r="M31" s="58"/>
      <c r="N31" s="58"/>
    </row>
  </sheetData>
  <mergeCells count="24">
    <mergeCell ref="X1:Y1"/>
    <mergeCell ref="A17:B17"/>
    <mergeCell ref="G5:H5"/>
    <mergeCell ref="Z5:AA5"/>
    <mergeCell ref="Y9:Z9"/>
    <mergeCell ref="D9:E9"/>
    <mergeCell ref="K9:L9"/>
    <mergeCell ref="AE9:AF9"/>
    <mergeCell ref="AB9:AC9"/>
    <mergeCell ref="V5:W5"/>
    <mergeCell ref="M13:N13"/>
    <mergeCell ref="O17:P17"/>
    <mergeCell ref="M29:N29"/>
    <mergeCell ref="B13:C13"/>
    <mergeCell ref="D17:E17"/>
    <mergeCell ref="D20:E20"/>
    <mergeCell ref="D23:E23"/>
    <mergeCell ref="D26:E26"/>
    <mergeCell ref="M26:N26"/>
    <mergeCell ref="K17:L17"/>
    <mergeCell ref="M20:N20"/>
    <mergeCell ref="M23:N23"/>
    <mergeCell ref="F13:G13"/>
    <mergeCell ref="I13:J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80" zoomScaleNormal="80" workbookViewId="0">
      <selection sqref="A1:D1"/>
    </sheetView>
  </sheetViews>
  <sheetFormatPr baseColWidth="10" defaultRowHeight="14.5" x14ac:dyDescent="0.35"/>
  <cols>
    <col min="1" max="1" width="12.08984375" customWidth="1"/>
    <col min="2" max="2" width="30.81640625" customWidth="1"/>
    <col min="3" max="4" width="18.08984375" customWidth="1"/>
  </cols>
  <sheetData>
    <row r="1" spans="1:4" x14ac:dyDescent="0.35">
      <c r="A1" s="107" t="s">
        <v>182</v>
      </c>
      <c r="B1" s="107"/>
      <c r="C1" s="107"/>
      <c r="D1" s="107"/>
    </row>
    <row r="2" spans="1:4" x14ac:dyDescent="0.35">
      <c r="A2" s="108" t="s">
        <v>155</v>
      </c>
      <c r="B2" s="108"/>
      <c r="C2" s="108"/>
      <c r="D2" s="108"/>
    </row>
    <row r="3" spans="1:4" x14ac:dyDescent="0.35">
      <c r="A3" s="108" t="s">
        <v>183</v>
      </c>
      <c r="B3" s="108"/>
      <c r="C3" s="108"/>
      <c r="D3" s="108"/>
    </row>
    <row r="4" spans="1:4" x14ac:dyDescent="0.35">
      <c r="A4" s="109" t="s">
        <v>184</v>
      </c>
      <c r="B4" s="109"/>
      <c r="C4" s="109"/>
      <c r="D4" s="109"/>
    </row>
    <row r="5" spans="1:4" x14ac:dyDescent="0.35">
      <c r="A5" s="65"/>
      <c r="B5" s="65"/>
      <c r="C5" s="65"/>
      <c r="D5" s="65"/>
    </row>
    <row r="6" spans="1:4" x14ac:dyDescent="0.35">
      <c r="A6" s="65"/>
      <c r="B6" s="65"/>
      <c r="C6" s="65"/>
      <c r="D6" s="65"/>
    </row>
    <row r="7" spans="1:4" x14ac:dyDescent="0.35">
      <c r="A7" s="66"/>
      <c r="B7" s="66" t="s">
        <v>156</v>
      </c>
      <c r="C7" s="67">
        <f>+BG!E4</f>
        <v>1968676</v>
      </c>
      <c r="D7" s="68"/>
    </row>
    <row r="8" spans="1:4" x14ac:dyDescent="0.35">
      <c r="A8" s="66" t="s">
        <v>157</v>
      </c>
      <c r="B8" s="69" t="s">
        <v>158</v>
      </c>
      <c r="C8" s="70">
        <f>-BG!L4</f>
        <v>-275280</v>
      </c>
      <c r="D8" s="68">
        <f>(C7+C8)/C9</f>
        <v>0.42908250556456762</v>
      </c>
    </row>
    <row r="9" spans="1:4" x14ac:dyDescent="0.35">
      <c r="A9" s="66"/>
      <c r="B9" s="66" t="s">
        <v>159</v>
      </c>
      <c r="C9" s="67">
        <f>+C12</f>
        <v>3946551.02</v>
      </c>
      <c r="D9" s="66" t="s">
        <v>160</v>
      </c>
    </row>
    <row r="10" spans="1:4" x14ac:dyDescent="0.35">
      <c r="A10" s="66"/>
      <c r="B10" s="66"/>
      <c r="C10" s="67"/>
      <c r="D10" s="66"/>
    </row>
    <row r="11" spans="1:4" x14ac:dyDescent="0.35">
      <c r="A11" s="66" t="s">
        <v>161</v>
      </c>
      <c r="B11" s="69" t="s">
        <v>162</v>
      </c>
      <c r="C11" s="70">
        <f>+BG!L18</f>
        <v>0</v>
      </c>
      <c r="D11" s="71">
        <f>C11/C12</f>
        <v>0</v>
      </c>
    </row>
    <row r="12" spans="1:4" x14ac:dyDescent="0.35">
      <c r="A12" s="66"/>
      <c r="B12" s="66" t="s">
        <v>159</v>
      </c>
      <c r="C12" s="67">
        <f>+BG!E21</f>
        <v>3946551.02</v>
      </c>
      <c r="D12" s="66" t="s">
        <v>160</v>
      </c>
    </row>
    <row r="13" spans="1:4" x14ac:dyDescent="0.35">
      <c r="A13" s="66"/>
      <c r="B13" s="66"/>
      <c r="C13" s="67"/>
      <c r="D13" s="66"/>
    </row>
    <row r="14" spans="1:4" x14ac:dyDescent="0.35">
      <c r="A14" s="66" t="s">
        <v>163</v>
      </c>
      <c r="B14" s="69" t="s">
        <v>164</v>
      </c>
      <c r="C14" s="70">
        <f>+ER!C11</f>
        <v>301675.02</v>
      </c>
      <c r="D14" s="71">
        <f>C14/C15</f>
        <v>7.6440167242535745E-2</v>
      </c>
    </row>
    <row r="15" spans="1:4" x14ac:dyDescent="0.35">
      <c r="A15" s="66"/>
      <c r="B15" s="66" t="s">
        <v>159</v>
      </c>
      <c r="C15" s="67">
        <f>+C12</f>
        <v>3946551.02</v>
      </c>
      <c r="D15" s="66" t="s">
        <v>160</v>
      </c>
    </row>
    <row r="16" spans="1:4" x14ac:dyDescent="0.35">
      <c r="A16" s="66"/>
      <c r="B16" s="66"/>
      <c r="C16" s="67"/>
      <c r="D16" s="66"/>
    </row>
    <row r="17" spans="1:4" x14ac:dyDescent="0.35">
      <c r="A17" s="66"/>
      <c r="B17" s="66" t="s">
        <v>165</v>
      </c>
      <c r="C17" s="67"/>
      <c r="D17" s="66"/>
    </row>
    <row r="18" spans="1:4" x14ac:dyDescent="0.35">
      <c r="A18" s="66" t="s">
        <v>166</v>
      </c>
      <c r="B18" s="69" t="s">
        <v>167</v>
      </c>
      <c r="C18" s="70">
        <f>+D27</f>
        <v>2471271.02</v>
      </c>
      <c r="D18" s="71">
        <f>C18/C19</f>
        <v>1.6751199907814109</v>
      </c>
    </row>
    <row r="19" spans="1:4" x14ac:dyDescent="0.35">
      <c r="A19" s="66"/>
      <c r="B19" s="66" t="s">
        <v>168</v>
      </c>
      <c r="C19" s="67">
        <f>+BG!L11</f>
        <v>1475280</v>
      </c>
      <c r="D19" s="66" t="s">
        <v>160</v>
      </c>
    </row>
    <row r="20" spans="1:4" x14ac:dyDescent="0.35">
      <c r="A20" s="66"/>
      <c r="B20" s="66"/>
      <c r="C20" s="67"/>
      <c r="D20" s="66"/>
    </row>
    <row r="21" spans="1:4" x14ac:dyDescent="0.35">
      <c r="A21" s="66" t="s">
        <v>169</v>
      </c>
      <c r="B21" s="69" t="s">
        <v>170</v>
      </c>
      <c r="C21" s="70">
        <f>+ER!C5</f>
        <v>1080000</v>
      </c>
      <c r="D21" s="71">
        <f>C21/C22</f>
        <v>0.27365666743616557</v>
      </c>
    </row>
    <row r="22" spans="1:4" x14ac:dyDescent="0.35">
      <c r="A22" s="65"/>
      <c r="B22" s="66" t="s">
        <v>159</v>
      </c>
      <c r="C22" s="67">
        <f>C9</f>
        <v>3946551.02</v>
      </c>
      <c r="D22" s="66" t="s">
        <v>171</v>
      </c>
    </row>
    <row r="23" spans="1:4" x14ac:dyDescent="0.35">
      <c r="A23" s="65"/>
      <c r="B23" s="65"/>
      <c r="C23" s="65"/>
      <c r="D23" s="65"/>
    </row>
    <row r="24" spans="1:4" x14ac:dyDescent="0.35">
      <c r="A24" s="65"/>
      <c r="B24" s="65"/>
      <c r="C24" s="65"/>
      <c r="D24" s="65"/>
    </row>
    <row r="25" spans="1:4" x14ac:dyDescent="0.35">
      <c r="A25" s="65" t="s">
        <v>172</v>
      </c>
      <c r="B25" s="65"/>
      <c r="C25" s="65"/>
      <c r="D25" s="65"/>
    </row>
    <row r="26" spans="1:4" x14ac:dyDescent="0.35">
      <c r="A26" s="65"/>
      <c r="B26" s="65" t="s">
        <v>173</v>
      </c>
      <c r="C26" s="65" t="s">
        <v>174</v>
      </c>
      <c r="D26" s="66" t="s">
        <v>175</v>
      </c>
    </row>
    <row r="27" spans="1:4" x14ac:dyDescent="0.35">
      <c r="A27" s="65"/>
      <c r="B27" s="67">
        <v>2300</v>
      </c>
      <c r="C27" s="72">
        <f>+BG!L19/B27</f>
        <v>1074.4656608695652</v>
      </c>
      <c r="D27" s="73">
        <f>+B27*C27</f>
        <v>2471271.02</v>
      </c>
    </row>
    <row r="28" spans="1:4" x14ac:dyDescent="0.35">
      <c r="A28" s="110" t="s">
        <v>176</v>
      </c>
      <c r="B28" s="110"/>
      <c r="C28" s="110"/>
      <c r="D28" s="110"/>
    </row>
    <row r="29" spans="1:4" x14ac:dyDescent="0.35">
      <c r="A29" s="110"/>
      <c r="B29" s="110"/>
      <c r="C29" s="110"/>
      <c r="D29" s="110"/>
    </row>
    <row r="30" spans="1:4" x14ac:dyDescent="0.35">
      <c r="A30" s="110"/>
      <c r="B30" s="110"/>
      <c r="C30" s="110"/>
      <c r="D30" s="110"/>
    </row>
    <row r="31" spans="1:4" x14ac:dyDescent="0.35">
      <c r="A31" s="65"/>
      <c r="B31" s="65"/>
      <c r="C31" s="65"/>
      <c r="D31" s="65"/>
    </row>
    <row r="32" spans="1:4" x14ac:dyDescent="0.35">
      <c r="A32" s="65"/>
      <c r="B32" s="65"/>
      <c r="C32" s="65"/>
      <c r="D32" s="65"/>
    </row>
    <row r="33" spans="1:4" x14ac:dyDescent="0.35">
      <c r="A33" s="65" t="s">
        <v>177</v>
      </c>
      <c r="B33" s="65"/>
      <c r="C33" s="65"/>
      <c r="D33" s="65"/>
    </row>
    <row r="34" spans="1:4" x14ac:dyDescent="0.35">
      <c r="A34" s="65"/>
      <c r="B34" s="65"/>
      <c r="C34" s="65"/>
      <c r="D34" s="65"/>
    </row>
    <row r="35" spans="1:4" x14ac:dyDescent="0.35">
      <c r="A35" s="65" t="str">
        <f>CONCATENATE("Z = 1.2 (",TEXT(D8,"0.00"),") + 1.4 (",TEXT(D11,"0.00"),") + 3.3 (",TEXT(D14,"0.00"),") + 0.6 (",TEXT(D18,"0.00"),") + 1.0 (",TEXT(D21,"0.00"),")")</f>
        <v>Z = 1.2 (0.43) + 1.4 (0.00) + 3.3 (0.08) + 0.6 (1.68) + 1.0 (0.27)</v>
      </c>
      <c r="B35" s="65"/>
      <c r="C35" s="65"/>
      <c r="D35" s="65"/>
    </row>
    <row r="36" spans="1:4" x14ac:dyDescent="0.35">
      <c r="A36" s="65"/>
      <c r="B36" s="65"/>
      <c r="C36" s="65"/>
      <c r="D36" s="65"/>
    </row>
    <row r="37" spans="1:4" x14ac:dyDescent="0.35">
      <c r="A37" s="74" t="str">
        <f>CONCATENATE("Z= ",TEXT(1.2*(D8),"0.00 + "),TEXT(1.4*(D11),"0.00 + "),TEXT(3.3*(D14),"0.00 + "),TEXT(0.6*(D18),"0.00 + "),TEXT(1*(D21),"0.00 "))</f>
        <v xml:space="preserve">Z= 0.51 + 0.00 + 0.25 + 1.01 + 0.27 </v>
      </c>
      <c r="B37" s="65"/>
      <c r="C37" s="65"/>
      <c r="D37" s="65"/>
    </row>
    <row r="38" spans="1:4" x14ac:dyDescent="0.35">
      <c r="A38" s="65"/>
      <c r="B38" s="65"/>
      <c r="C38" s="65"/>
      <c r="D38" s="65"/>
    </row>
    <row r="39" spans="1:4" x14ac:dyDescent="0.35">
      <c r="A39" s="74" t="str">
        <f>CONCATENATE("Z=",TEXT(1.2*(D8)+1.4*(D11)+3.3*(D14)+0.6*(D18)+1*(D21),"0.00"))</f>
        <v>Z=2.05</v>
      </c>
      <c r="B39" s="65"/>
      <c r="C39" s="65"/>
      <c r="D39" s="65"/>
    </row>
    <row r="40" spans="1:4" x14ac:dyDescent="0.35">
      <c r="A40" s="75">
        <f>(1.2*(D8)+1.4*(D11)+3.3*(D14)+0.6*(D18)+1*(D21))</f>
        <v>2.0458802204828608</v>
      </c>
      <c r="B40" s="65"/>
      <c r="C40" s="65"/>
      <c r="D40" s="65"/>
    </row>
    <row r="41" spans="1:4" x14ac:dyDescent="0.35">
      <c r="A41" s="65"/>
      <c r="B41" s="65"/>
      <c r="C41" s="65"/>
      <c r="D41" s="65"/>
    </row>
    <row r="42" spans="1:4" x14ac:dyDescent="0.35">
      <c r="A42" s="65" t="s">
        <v>178</v>
      </c>
      <c r="B42" s="65"/>
      <c r="C42" s="65"/>
      <c r="D42" s="65"/>
    </row>
    <row r="43" spans="1:4" x14ac:dyDescent="0.35">
      <c r="A43" s="65" t="s">
        <v>179</v>
      </c>
      <c r="B43" s="74"/>
      <c r="C43" s="74"/>
      <c r="D43" s="65"/>
    </row>
    <row r="44" spans="1:4" x14ac:dyDescent="0.35">
      <c r="A44" s="65" t="s">
        <v>180</v>
      </c>
      <c r="B44" s="65"/>
      <c r="C44" s="65"/>
      <c r="D44" s="65"/>
    </row>
  </sheetData>
  <mergeCells count="5">
    <mergeCell ref="A1:D1"/>
    <mergeCell ref="A2:D2"/>
    <mergeCell ref="A3:D3"/>
    <mergeCell ref="A4:D4"/>
    <mergeCell ref="A28:D30"/>
  </mergeCells>
  <conditionalFormatting sqref="A42">
    <cfRule type="expression" dxfId="2" priority="3" stopIfTrue="1">
      <formula>A$40&lt;1.81</formula>
    </cfRule>
  </conditionalFormatting>
  <conditionalFormatting sqref="A43">
    <cfRule type="expression" dxfId="1" priority="2" stopIfTrue="1">
      <formula>IF(A40&gt;=1.81,IF(A40&lt;3,TRUE,FALSE),FALSE)</formula>
    </cfRule>
  </conditionalFormatting>
  <conditionalFormatting sqref="A44">
    <cfRule type="expression" dxfId="0" priority="1" stopIfTrue="1">
      <formula>A$40&gt;=3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BG</vt:lpstr>
      <vt:lpstr>ER</vt:lpstr>
      <vt:lpstr>FF</vt:lpstr>
      <vt:lpstr>razones NIF</vt:lpstr>
      <vt:lpstr>DUPONT</vt:lpstr>
      <vt:lpstr>ALTMAN</vt:lpstr>
      <vt:lpstr>BG!Área_de_impresión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fidel alcocer</cp:lastModifiedBy>
  <cp:lastPrinted>2009-02-18T23:49:15Z</cp:lastPrinted>
  <dcterms:created xsi:type="dcterms:W3CDTF">2008-11-24T04:12:05Z</dcterms:created>
  <dcterms:modified xsi:type="dcterms:W3CDTF">2015-11-28T15:15:35Z</dcterms:modified>
</cp:coreProperties>
</file>